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00" windowHeight="7620" tabRatio="880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Domiciliar'!$A$1:$F$306</definedName>
    <definedName name="_xlnm.Print_Area" localSheetId="1">'2.Encargos Sociais'!$A$1:$C$39</definedName>
    <definedName name="_xlnm.Print_Titles" localSheetId="0">'1. Coleta Domiciliar'!$1:$8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2" i="2" l="1"/>
  <c r="F297" i="2" s="1"/>
  <c r="F302" i="2" s="1"/>
  <c r="E291" i="2"/>
  <c r="C139" i="2" l="1"/>
  <c r="C161" i="2"/>
  <c r="A48" i="2"/>
  <c r="C21" i="9" l="1"/>
  <c r="C27" i="5" l="1"/>
  <c r="C218" i="2" l="1"/>
  <c r="C217" i="2"/>
  <c r="C219" i="2"/>
  <c r="A35" i="2" l="1"/>
  <c r="A34" i="2"/>
  <c r="A33" i="2"/>
  <c r="A25" i="2"/>
  <c r="A24" i="2"/>
  <c r="A16" i="2"/>
  <c r="C13" i="9" l="1"/>
  <c r="C14" i="9" s="1"/>
  <c r="C15" i="9" l="1"/>
  <c r="C17" i="9"/>
  <c r="C22" i="9" s="1"/>
  <c r="C24" i="9" s="1"/>
  <c r="C188" i="2"/>
  <c r="C193" i="2"/>
  <c r="E44" i="2" l="1"/>
  <c r="E42" i="2"/>
  <c r="C212" i="2" l="1"/>
  <c r="C207" i="2"/>
  <c r="D237" i="2"/>
  <c r="D235" i="2"/>
  <c r="D233" i="2"/>
  <c r="D231" i="2"/>
  <c r="D167" i="2" l="1"/>
  <c r="E167" i="2" s="1"/>
  <c r="E151" i="2"/>
  <c r="E152" i="2"/>
  <c r="E153" i="2"/>
  <c r="E154" i="2"/>
  <c r="E155" i="2"/>
  <c r="E156" i="2"/>
  <c r="E157" i="2"/>
  <c r="E158" i="2"/>
  <c r="E159" i="2"/>
  <c r="E150" i="2"/>
  <c r="D59" i="2" l="1"/>
  <c r="E59" i="2" s="1"/>
  <c r="D58" i="2"/>
  <c r="E58" i="2" s="1"/>
  <c r="D91" i="2"/>
  <c r="E91" i="2" s="1"/>
  <c r="C110" i="2"/>
  <c r="D60" i="2" l="1"/>
  <c r="E60" i="2" s="1"/>
  <c r="C113" i="2"/>
  <c r="D92" i="2"/>
  <c r="E92" i="2" s="1"/>
  <c r="D93" i="2" s="1"/>
  <c r="E93" i="2" s="1"/>
  <c r="C78" i="2"/>
  <c r="C75" i="2"/>
  <c r="C252" i="2" l="1"/>
  <c r="A32" i="2"/>
  <c r="A31" i="2"/>
  <c r="A30" i="2"/>
  <c r="A29" i="2"/>
  <c r="A28" i="2"/>
  <c r="A27" i="2"/>
  <c r="A26" i="2"/>
  <c r="A23" i="2"/>
  <c r="A22" i="2"/>
  <c r="A21" i="2"/>
  <c r="A20" i="2"/>
  <c r="A19" i="2"/>
  <c r="A18" i="2"/>
  <c r="A17" i="2"/>
  <c r="C20" i="8"/>
  <c r="E277" i="2"/>
  <c r="E221" i="2"/>
  <c r="E213" i="2"/>
  <c r="E197" i="2"/>
  <c r="E175" i="2"/>
  <c r="E162" i="2"/>
  <c r="E141" i="2"/>
  <c r="E121" i="2"/>
  <c r="E100" i="2"/>
  <c r="E85" i="2"/>
  <c r="E66" i="2"/>
  <c r="D201" i="2"/>
  <c r="C15" i="4"/>
  <c r="C20" i="4" s="1"/>
  <c r="C286" i="2" s="1"/>
  <c r="F13" i="4"/>
  <c r="E13" i="4"/>
  <c r="D13" i="4"/>
  <c r="C17" i="8"/>
  <c r="C29" i="5"/>
  <c r="C116" i="2"/>
  <c r="C107" i="2"/>
  <c r="D110" i="2"/>
  <c r="E110" i="2" s="1"/>
  <c r="E89" i="2"/>
  <c r="D128" i="2" s="1"/>
  <c r="C128" i="2"/>
  <c r="C250" i="2"/>
  <c r="E250" i="2" s="1"/>
  <c r="C229" i="2"/>
  <c r="C231" i="2" s="1"/>
  <c r="E231" i="2" s="1"/>
  <c r="D229" i="2"/>
  <c r="D238" i="2" s="1"/>
  <c r="E185" i="2"/>
  <c r="D206" i="2"/>
  <c r="C194" i="2"/>
  <c r="C189" i="2"/>
  <c r="C72" i="2"/>
  <c r="C273" i="2"/>
  <c r="C275" i="2" s="1"/>
  <c r="E275" i="2" s="1"/>
  <c r="D276" i="2" s="1"/>
  <c r="E276" i="2" s="1"/>
  <c r="C190" i="2"/>
  <c r="C206" i="2" s="1"/>
  <c r="C127" i="2"/>
  <c r="A41" i="2"/>
  <c r="A42" i="2"/>
  <c r="A43" i="2"/>
  <c r="A44" i="2"/>
  <c r="E57" i="2"/>
  <c r="D127" i="2" s="1"/>
  <c r="C80" i="2"/>
  <c r="A133" i="2"/>
  <c r="A139" i="2" s="1"/>
  <c r="A134" i="2"/>
  <c r="A140" i="2" s="1"/>
  <c r="E160" i="2"/>
  <c r="D168" i="2"/>
  <c r="E168" i="2" s="1"/>
  <c r="D169" i="2"/>
  <c r="E169" i="2" s="1"/>
  <c r="D170" i="2"/>
  <c r="E170" i="2" s="1"/>
  <c r="D171" i="2"/>
  <c r="E171" i="2" s="1"/>
  <c r="D172" i="2"/>
  <c r="E172" i="2" s="1"/>
  <c r="E173" i="2"/>
  <c r="E248" i="2"/>
  <c r="E219" i="2"/>
  <c r="E218" i="2"/>
  <c r="E261" i="2"/>
  <c r="E264" i="2"/>
  <c r="E265" i="2"/>
  <c r="E262" i="2"/>
  <c r="E263" i="2"/>
  <c r="D95" i="2"/>
  <c r="E95" i="2" s="1"/>
  <c r="C31" i="5" l="1"/>
  <c r="C32" i="5" s="1"/>
  <c r="C30" i="5"/>
  <c r="C31" i="8" s="1"/>
  <c r="D188" i="2"/>
  <c r="E188" i="2" s="1"/>
  <c r="D217" i="2"/>
  <c r="D78" i="2"/>
  <c r="E78" i="2" s="1"/>
  <c r="D73" i="2"/>
  <c r="E73" i="2" s="1"/>
  <c r="E104" i="2"/>
  <c r="D108" i="2"/>
  <c r="E108" i="2" s="1"/>
  <c r="D111" i="2"/>
  <c r="E111" i="2" s="1"/>
  <c r="D113" i="2"/>
  <c r="E113" i="2" s="1"/>
  <c r="D107" i="2"/>
  <c r="E107" i="2" s="1"/>
  <c r="D76" i="2"/>
  <c r="E76" i="2" s="1"/>
  <c r="D75" i="2"/>
  <c r="E75" i="2" s="1"/>
  <c r="C235" i="2"/>
  <c r="E235" i="2" s="1"/>
  <c r="D72" i="2"/>
  <c r="E72" i="2" s="1"/>
  <c r="C237" i="2"/>
  <c r="E237" i="2" s="1"/>
  <c r="F266" i="2"/>
  <c r="F268" i="2" s="1"/>
  <c r="E33" i="2" s="1"/>
  <c r="C134" i="2"/>
  <c r="E134" i="2" s="1"/>
  <c r="E229" i="2"/>
  <c r="E70" i="2"/>
  <c r="E190" i="2"/>
  <c r="C208" i="2" s="1"/>
  <c r="D161" i="2"/>
  <c r="C133" i="2"/>
  <c r="E133" i="2" s="1"/>
  <c r="E45" i="2"/>
  <c r="E139" i="2"/>
  <c r="E127" i="2"/>
  <c r="E206" i="2"/>
  <c r="C140" i="2"/>
  <c r="E140" i="2" s="1"/>
  <c r="D61" i="2"/>
  <c r="E61" i="2" s="1"/>
  <c r="E62" i="2" s="1"/>
  <c r="D63" i="2" s="1"/>
  <c r="C174" i="2"/>
  <c r="C233" i="2"/>
  <c r="E233" i="2" s="1"/>
  <c r="C243" i="2"/>
  <c r="E243" i="2" s="1"/>
  <c r="F244" i="2" s="1"/>
  <c r="E31" i="2" s="1"/>
  <c r="E273" i="2"/>
  <c r="D274" i="2" s="1"/>
  <c r="E274" i="2" s="1"/>
  <c r="F277" i="2" s="1"/>
  <c r="F279" i="2" s="1"/>
  <c r="E34" i="2" s="1"/>
  <c r="E201" i="2"/>
  <c r="D251" i="2"/>
  <c r="E251" i="2" s="1"/>
  <c r="D252" i="2" s="1"/>
  <c r="E252" i="2" s="1"/>
  <c r="F253" i="2" s="1"/>
  <c r="E32" i="2" s="1"/>
  <c r="E128" i="2"/>
  <c r="D174" i="2"/>
  <c r="E96" i="2"/>
  <c r="C30" i="8" l="1"/>
  <c r="C37" i="5"/>
  <c r="C27" i="8" s="1"/>
  <c r="C35" i="8" s="1"/>
  <c r="D189" i="2"/>
  <c r="E189" i="2" s="1"/>
  <c r="E217" i="2"/>
  <c r="D220" i="2" s="1"/>
  <c r="E220" i="2" s="1"/>
  <c r="F221" i="2" s="1"/>
  <c r="E29" i="2" s="1"/>
  <c r="C203" i="2"/>
  <c r="C204" i="2" s="1"/>
  <c r="D205" i="2" s="1"/>
  <c r="E205" i="2" s="1"/>
  <c r="C28" i="8"/>
  <c r="C19" i="8" s="1"/>
  <c r="C25" i="8" s="1"/>
  <c r="C34" i="8" s="1"/>
  <c r="D79" i="2"/>
  <c r="E79" i="2" s="1"/>
  <c r="D80" i="2" s="1"/>
  <c r="E80" i="2" s="1"/>
  <c r="D114" i="2"/>
  <c r="E114" i="2" s="1"/>
  <c r="D116" i="2" s="1"/>
  <c r="E116" i="2" s="1"/>
  <c r="F135" i="2"/>
  <c r="E22" i="2" s="1"/>
  <c r="F141" i="2"/>
  <c r="E23" i="2" s="1"/>
  <c r="E174" i="2"/>
  <c r="F175" i="2" s="1"/>
  <c r="E161" i="2"/>
  <c r="F162" i="2" s="1"/>
  <c r="D193" i="2"/>
  <c r="E193" i="2" s="1"/>
  <c r="D194" i="2" s="1"/>
  <c r="E194" i="2" s="1"/>
  <c r="F129" i="2"/>
  <c r="E21" i="2" s="1"/>
  <c r="F239" i="2"/>
  <c r="E30" i="2" s="1"/>
  <c r="D97" i="2"/>
  <c r="C29" i="8" l="1"/>
  <c r="C32" i="8" s="1"/>
  <c r="C36" i="8"/>
  <c r="E195" i="2"/>
  <c r="D196" i="2" s="1"/>
  <c r="E196" i="2" s="1"/>
  <c r="F197" i="2" s="1"/>
  <c r="E27" i="2" s="1"/>
  <c r="C209" i="2"/>
  <c r="D210" i="2" s="1"/>
  <c r="E210" i="2" s="1"/>
  <c r="E211" i="2" s="1"/>
  <c r="D212" i="2" s="1"/>
  <c r="E212" i="2" s="1"/>
  <c r="F213" i="2" s="1"/>
  <c r="F177" i="2"/>
  <c r="E24" i="2" s="1"/>
  <c r="E117" i="2"/>
  <c r="D118" i="2" s="1"/>
  <c r="E81" i="2"/>
  <c r="C37" i="8" l="1"/>
  <c r="C97" i="2" s="1"/>
  <c r="E28" i="2"/>
  <c r="E26" i="2" s="1"/>
  <c r="F256" i="2"/>
  <c r="E25" i="2" s="1"/>
  <c r="D82" i="2"/>
  <c r="C82" i="2" l="1"/>
  <c r="E82" i="2" s="1"/>
  <c r="E83" i="2" s="1"/>
  <c r="D84" i="2" s="1"/>
  <c r="E84" i="2" s="1"/>
  <c r="F85" i="2" s="1"/>
  <c r="E18" i="2" s="1"/>
  <c r="C63" i="2"/>
  <c r="E63" i="2" s="1"/>
  <c r="E64" i="2" s="1"/>
  <c r="D65" i="2" s="1"/>
  <c r="E65" i="2" s="1"/>
  <c r="F66" i="2" s="1"/>
  <c r="E17" i="2" s="1"/>
  <c r="C118" i="2"/>
  <c r="E118" i="2" s="1"/>
  <c r="E119" i="2" s="1"/>
  <c r="D120" i="2" s="1"/>
  <c r="E120" i="2" s="1"/>
  <c r="F121" i="2" s="1"/>
  <c r="E20" i="2" s="1"/>
  <c r="E97" i="2"/>
  <c r="E98" i="2" s="1"/>
  <c r="D99" i="2" s="1"/>
  <c r="E99" i="2" s="1"/>
  <c r="F100" i="2" s="1"/>
  <c r="E19" i="2" s="1"/>
  <c r="F143" i="2" l="1"/>
  <c r="F281" i="2" s="1"/>
  <c r="E16" i="2" l="1"/>
  <c r="D286" i="2"/>
  <c r="E286" i="2" s="1"/>
  <c r="F287" i="2" s="1"/>
  <c r="F294" i="2" s="1"/>
  <c r="E35" i="2" s="1"/>
  <c r="E36" i="2" l="1"/>
  <c r="F16" i="2" s="1"/>
  <c r="F34" i="2" l="1"/>
  <c r="F18" i="2"/>
  <c r="F24" i="2"/>
  <c r="F17" i="2"/>
  <c r="F23" i="2"/>
  <c r="F20" i="2"/>
  <c r="F25" i="2"/>
  <c r="F32" i="2"/>
  <c r="F31" i="2"/>
  <c r="F19" i="2"/>
  <c r="F26" i="2"/>
  <c r="F27" i="2"/>
  <c r="F28" i="2"/>
  <c r="F22" i="2"/>
  <c r="F29" i="2"/>
  <c r="F21" i="2"/>
  <c r="F33" i="2"/>
  <c r="F30" i="2"/>
  <c r="F35" i="2"/>
  <c r="F36" i="2" l="1"/>
</calcChain>
</file>

<file path=xl/comments1.xml><?xml version="1.0" encoding="utf-8"?>
<comments xmlns="http://schemas.openxmlformats.org/spreadsheetml/2006/main">
  <authors>
    <author>Clauber Bridi</author>
  </authors>
  <commentList>
    <comment ref="A14" authorId="0" shapeId="0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8" authorId="0" shapeId="0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9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0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5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1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3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4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7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9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4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9" authorId="0" shapeId="0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90" authorId="0" shapeId="0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1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2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3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5" authorId="0" shapeId="0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7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9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6" authorId="0" shapeId="0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8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9" authorId="0" shapeId="0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1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2" authorId="0" shapeId="0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4" authorId="0" shapeId="0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5" authorId="0" shapeId="0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5" authorId="0" shapeId="0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6" authorId="0" shapeId="0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7" authorId="0" shapeId="0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8" authorId="0" shapeId="0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3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4" authorId="0" shapeId="0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0" authorId="0" shapeId="0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5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8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9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0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7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0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1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2" authorId="0" shapeId="0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3" authorId="0" shapeId="0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5" authorId="0" shapeId="0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6" authorId="0" shapeId="0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7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8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" authorId="0" shapeId="0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91" authorId="0" shapeId="0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2" authorId="0" shapeId="0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6" authorId="0" shapeId="0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2" authorId="0" shapeId="0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8" authorId="0" shapeId="0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9" authorId="0" shapeId="0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25" authorId="0" shapeId="0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8" authorId="0" shapeId="0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8" authorId="0" shapeId="0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0" authorId="0" shapeId="0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0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2" authorId="0" shapeId="0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2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4" authorId="0" shapeId="0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4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6" authorId="0" shapeId="0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6" authorId="0" shapeId="0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3" authorId="0" shapeId="0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8" authorId="0" shapeId="0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8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9" authorId="0" shapeId="0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0" authorId="0" shapeId="0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1" authorId="0" shapeId="0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61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1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2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3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3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4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5" authorId="0" shapeId="0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 shapeId="0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70" authorId="0" shapeId="0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3" authorId="0" shapeId="0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75" authorId="0" shapeId="0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6" authorId="0" shape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C291" authorId="0" shapeId="0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300" authorId="0" shapeId="0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>
  <authors>
    <author>cbridi</author>
    <author>Clauber Bridi</author>
    <author>Omar</author>
  </authors>
  <commentList>
    <comment ref="C12" authorId="0" shapeId="0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 shapeId="0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 shapeId="0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9" authorId="0" shapeId="0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 shapeId="0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 shapeId="0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<sst xmlns="http://schemas.openxmlformats.org/spreadsheetml/2006/main" count="615" uniqueCount="326">
  <si>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</si>
  <si>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</si>
  <si>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</si>
  <si>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</si>
  <si>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</si>
  <si>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</si>
  <si>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</si>
  <si>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</si>
  <si>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</si>
  <si>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</si>
  <si>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</si>
  <si>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</si>
  <si>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</si>
  <si>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</si>
  <si>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</si>
  <si>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</si>
  <si>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</si>
  <si>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</si>
  <si>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</si>
  <si>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</si>
  <si>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</si>
  <si>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</si>
  <si>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</si>
  <si>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</si>
  <si>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</si>
  <si>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</si>
  <si>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</si>
  <si>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</si>
  <si>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</si>
  <si>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</si>
  <si>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</si>
  <si>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</si>
  <si>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</si>
  <si>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</si>
  <si>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</si>
  <si>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</si>
  <si>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</si>
  <si>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</si>
  <si>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</si>
  <si>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</si>
  <si>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</si>
  <si>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</si>
  <si>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</si>
  <si>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</si>
  <si>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</si>
  <si>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</si>
  <si>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</si>
  <si>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</si>
  <si>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</si>
  <si>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</si>
  <si>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</si>
  <si>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</si>
  <si>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</si>
  <si>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</si>
  <si>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</si>
  <si>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</si>
  <si>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</si>
  <si>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</si>
  <si>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</si>
  <si>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</si>
  <si>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</si>
  <si>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</si>
  <si>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</si>
  <si>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</si>
  <si>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</si>
  <si>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</si>
  <si>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</si>
  <si>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</si>
  <si>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</si>
  <si>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</si>
  <si>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</si>
  <si>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</si>
  <si>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</si>
  <si>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</si>
  <si>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</si>
  <si>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</si>
  <si>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</si>
  <si>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</si>
  <si>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</si>
  <si>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</si>
  <si>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</si>
  <si>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</si>
  <si>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</si>
  <si>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</si>
  <si>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</si>
  <si>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</si>
  <si>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</si>
  <si>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</si>
  <si>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</si>
  <si>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</si>
  <si>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</si>
  <si>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</si>
  <si>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</si>
  <si>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</si>
  <si>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</si>
  <si>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</si>
  <si>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</si>
  <si>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</si>
  <si>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</si>
  <si>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</si>
  <si>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t>Custo do jogo de pneus xxx/xx Rxx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</si>
  <si>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</si>
  <si>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</si>
  <si>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</si>
  <si>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</si>
  <si>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</si>
  <si>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</si>
  <si>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</si>
  <si>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</si>
  <si>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</si>
  <si>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</si>
  <si>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</si>
  <si>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</si>
  <si>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</si>
  <si>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</si>
  <si>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</si>
  <si>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</si>
  <si>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</si>
  <si>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</si>
  <si>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</si>
  <si>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</si>
  <si>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</si>
  <si>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</si>
  <si>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</si>
  <si>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</si>
  <si>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</si>
  <si>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</si>
  <si>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</si>
  <si>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</si>
  <si>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</si>
  <si>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</si>
  <si>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</si>
  <si>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</si>
  <si>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</si>
  <si>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</si>
  <si>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</si>
  <si>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</si>
  <si>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</si>
  <si>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</si>
  <si>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</si>
  <si>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</si>
  <si>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</si>
  <si>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</si>
  <si>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</si>
  <si>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</si>
  <si>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</si>
  <si>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</si>
  <si>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</si>
  <si>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</si>
  <si>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</si>
  <si>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</si>
  <si>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</si>
  <si>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</si>
  <si>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</si>
  <si>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</si>
  <si>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</si>
  <si>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</si>
  <si>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</si>
  <si>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</si>
  <si>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</si>
  <si>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</si>
  <si>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</si>
  <si>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</si>
  <si>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</si>
  <si>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</si>
  <si>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</si>
  <si>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</si>
  <si>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</si>
  <si>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</si>
  <si>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</si>
  <si>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</si>
  <si>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</si>
  <si>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</si>
  <si>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</si>
  <si>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</si>
  <si>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</si>
  <si>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</si>
  <si>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</si>
  <si>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</si>
  <si>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</si>
  <si>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</si>
  <si>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</si>
  <si>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</si>
  <si>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</si>
  <si>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</si>
  <si>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</si>
  <si>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</si>
  <si>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</si>
  <si>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</si>
  <si>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</si>
  <si>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</si>
  <si>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</si>
  <si>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</si>
  <si>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</si>
  <si>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</si>
  <si>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</si>
  <si>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</si>
  <si>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</si>
  <si>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</si>
  <si>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</si>
  <si>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</si>
  <si>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</si>
  <si>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</si>
  <si>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</si>
  <si>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</si>
  <si>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</si>
  <si>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</si>
  <si>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</si>
  <si>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</si>
  <si>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</si>
  <si>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</si>
  <si>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</si>
  <si>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</si>
  <si>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</si>
  <si>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</si>
  <si>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</si>
  <si>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</si>
  <si>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</si>
  <si>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</si>
  <si>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</si>
  <si>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</si>
  <si>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</si>
  <si>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</si>
  <si>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</si>
  <si>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</si>
  <si>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</si>
  <si>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</si>
  <si>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</si>
  <si>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</si>
  <si>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</si>
  <si>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</si>
  <si>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</si>
  <si>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</si>
  <si>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</si>
  <si>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</si>
  <si>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1. Coleta de Resíduos Sólidos 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</si>
  <si>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</si>
  <si>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</si>
  <si>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</si>
  <si>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</si>
  <si>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</si>
  <si>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</si>
  <si>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</si>
  <si>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</si>
  <si>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</si>
  <si>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</si>
  <si>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</si>
  <si>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</si>
  <si>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</si>
  <si>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</si>
  <si>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</si>
  <si>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</si>
  <si>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</si>
  <si>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</si>
  <si>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</si>
  <si>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</si>
  <si>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</si>
  <si>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</si>
  <si>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</si>
  <si>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</si>
  <si>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</si>
  <si>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</si>
  <si>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</si>
  <si>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</si>
  <si>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</si>
  <si>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</si>
  <si>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</si>
  <si>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</si>
  <si>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</si>
  <si>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</si>
  <si>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</si>
  <si>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</si>
  <si>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</si>
  <si>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</si>
  <si>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</si>
  <si>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</si>
  <si>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</si>
  <si>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</si>
  <si>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</si>
  <si>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</si>
  <si>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</si>
  <si>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</si>
  <si>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</si>
  <si>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</si>
  <si>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</si>
  <si>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</si>
  <si>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</si>
  <si>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</si>
  <si>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</si>
  <si>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</si>
  <si>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</si>
  <si>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</si>
  <si>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</si>
  <si>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</si>
  <si>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</si>
  <si>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</si>
  <si>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</si>
  <si>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</si>
  <si>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</si>
  <si>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</si>
  <si>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</si>
  <si>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</si>
  <si>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</si>
  <si>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</si>
  <si>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</si>
  <si>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</si>
  <si>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</si>
  <si>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</si>
  <si>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</si>
  <si>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</si>
  <si>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</si>
  <si>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</si>
  <si>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</si>
  <si>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</si>
  <si>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1. Antes de preenchê-la, leia a Orientação Técnica - Serviço de coleta de resíduos sólidos domiciliares</t>
  </si>
  <si>
    <t>3. As células azuis deverão ter seus valores preenchidos em outra planilha do arquivo.</t>
  </si>
  <si>
    <t>Estoque recuperado final do Período 31/12/2019</t>
  </si>
  <si>
    <t>Variação Emprego Absoluta de 01/01/2019 a 31/12/2019</t>
  </si>
  <si>
    <t>Estoque recuperado início do Período 01/01/2019</t>
  </si>
  <si>
    <t xml:space="preserve">DISPONÍVEL EM: </t>
  </si>
  <si>
    <t>https://portalnovo.tce.rs.gov.br/wp-content/uploads/2020/06/Coleta-de-Residuos-S%C3%B3lidos.pdf</t>
  </si>
  <si>
    <r>
      <t>3.1. Veículo Coletor Compactador</t>
    </r>
    <r>
      <rPr>
        <sz val="10"/>
        <color indexed="10"/>
        <rFont val="Arial"/>
        <family val="2"/>
      </rPr>
      <t xml:space="preserve"> 15</t>
    </r>
    <r>
      <rPr>
        <sz val="10"/>
        <rFont val="Arial"/>
        <family val="2"/>
      </rPr>
      <t xml:space="preserve"> m³</t>
    </r>
  </si>
  <si>
    <t>Ajustado, de acordo com a nova Lei Federal nº 13.932/2019</t>
  </si>
  <si>
    <t>7. Destinação Final</t>
  </si>
  <si>
    <t>Destinação Final</t>
  </si>
  <si>
    <t>PREÇO POR TONELADA COLETADA E DESTINADA:  [A/B]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</si>
</sst>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2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3" fillId="2" borderId="4" xfId="3" applyNumberFormat="1" applyFont="1" applyFill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165" fontId="3" fillId="0" borderId="35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6" fillId="0" borderId="39" xfId="3" applyFont="1" applyBorder="1" applyAlignment="1">
      <alignment vertical="center"/>
    </xf>
    <xf numFmtId="165" fontId="6" fillId="0" borderId="40" xfId="3" applyFont="1" applyBorder="1" applyAlignment="1">
      <alignment vertical="center"/>
    </xf>
    <xf numFmtId="165" fontId="6" fillId="0" borderId="41" xfId="3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" fontId="6" fillId="0" borderId="37" xfId="3" applyNumberFormat="1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8" xfId="2" applyFont="1" applyBorder="1" applyAlignment="1">
      <alignment vertical="center"/>
    </xf>
    <xf numFmtId="10" fontId="6" fillId="0" borderId="15" xfId="2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6" fillId="0" borderId="0" xfId="0" applyFont="1" applyBorder="1"/>
    <xf numFmtId="0" fontId="18" fillId="0" borderId="47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48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6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4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8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49" xfId="0" applyFont="1" applyBorder="1"/>
    <xf numFmtId="0" fontId="5" fillId="3" borderId="50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8" xfId="0" applyFont="1" applyBorder="1"/>
    <xf numFmtId="0" fontId="7" fillId="0" borderId="38" xfId="0" applyFont="1" applyFill="1" applyBorder="1" applyAlignment="1">
      <alignment horizontal="left" vertical="center"/>
    </xf>
    <xf numFmtId="0" fontId="5" fillId="0" borderId="0" xfId="0" applyFont="1" applyBorder="1"/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Fill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Fill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10" fontId="5" fillId="0" borderId="27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2" xfId="0" applyFont="1" applyBorder="1"/>
    <xf numFmtId="0" fontId="20" fillId="0" borderId="52" xfId="0" applyFont="1" applyBorder="1" applyAlignment="1">
      <alignment horizontal="justify"/>
    </xf>
    <xf numFmtId="0" fontId="20" fillId="0" borderId="53" xfId="0" applyFont="1" applyBorder="1" applyAlignment="1">
      <alignment horizontal="justify"/>
    </xf>
    <xf numFmtId="0" fontId="17" fillId="10" borderId="51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5" fontId="6" fillId="3" borderId="9" xfId="3" applyNumberFormat="1" applyFont="1" applyFill="1" applyBorder="1" applyAlignment="1">
      <alignment vertical="center"/>
    </xf>
    <xf numFmtId="165" fontId="6" fillId="0" borderId="10" xfId="3" applyFont="1" applyBorder="1" applyAlignment="1">
      <alignment vertical="center"/>
    </xf>
    <xf numFmtId="165" fontId="3" fillId="0" borderId="7" xfId="3" applyFont="1" applyBorder="1" applyAlignment="1">
      <alignment horizontal="right" vertical="center"/>
    </xf>
    <xf numFmtId="165" fontId="3" fillId="2" borderId="4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54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165" fontId="3" fillId="0" borderId="54" xfId="3" applyFont="1" applyBorder="1" applyAlignment="1">
      <alignment horizontal="center" vertical="center"/>
    </xf>
    <xf numFmtId="165" fontId="3" fillId="0" borderId="54" xfId="3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Fill="1"/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23" xfId="0" applyFont="1" applyFill="1" applyBorder="1"/>
    <xf numFmtId="0" fontId="5" fillId="0" borderId="1" xfId="0" applyFont="1" applyFill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Fill="1" applyBorder="1"/>
    <xf numFmtId="0" fontId="5" fillId="0" borderId="36" xfId="0" applyFont="1" applyBorder="1"/>
    <xf numFmtId="171" fontId="5" fillId="3" borderId="20" xfId="0" applyNumberFormat="1" applyFont="1" applyFill="1" applyBorder="1"/>
    <xf numFmtId="171" fontId="5" fillId="0" borderId="37" xfId="0" applyNumberFormat="1" applyFont="1" applyBorder="1"/>
    <xf numFmtId="0" fontId="17" fillId="0" borderId="1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172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0" fontId="4" fillId="0" borderId="0" xfId="0" applyFont="1" applyAlignment="1">
      <alignment vertical="center"/>
    </xf>
    <xf numFmtId="4" fontId="32" fillId="0" borderId="0" xfId="0" applyNumberFormat="1" applyFont="1" applyBorder="1" applyAlignment="1">
      <alignment vertical="center"/>
    </xf>
    <xf numFmtId="0" fontId="5" fillId="0" borderId="20" xfId="0" applyFont="1" applyFill="1" applyBorder="1"/>
    <xf numFmtId="0" fontId="31" fillId="0" borderId="0" xfId="0" applyFont="1"/>
    <xf numFmtId="0" fontId="1" fillId="0" borderId="2" xfId="0" applyFont="1" applyBorder="1" applyAlignment="1">
      <alignment vertical="center"/>
    </xf>
    <xf numFmtId="169" fontId="7" fillId="0" borderId="20" xfId="0" applyNumberFormat="1" applyFont="1" applyBorder="1"/>
    <xf numFmtId="9" fontId="18" fillId="0" borderId="20" xfId="2" applyFont="1" applyBorder="1"/>
    <xf numFmtId="10" fontId="18" fillId="0" borderId="20" xfId="2" applyNumberFormat="1" applyFont="1" applyBorder="1"/>
    <xf numFmtId="9" fontId="7" fillId="0" borderId="31" xfId="2" applyFont="1" applyBorder="1"/>
    <xf numFmtId="0" fontId="5" fillId="0" borderId="55" xfId="0" applyFont="1" applyBorder="1"/>
    <xf numFmtId="4" fontId="4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3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id="{00000000-0008-0000-05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id="{00000000-0008-0000-05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novo.tce.rs.gov.br/wp-content/uploads/2020/06/Coleta-de-Residuos-S%C3%B3lido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6"/>
  <sheetViews>
    <sheetView tabSelected="1" view="pageBreakPreview" topLeftCell="A265" zoomScaleNormal="100" zoomScaleSheetLayoutView="100" workbookViewId="0">
      <selection activeCell="A292" sqref="A292"/>
    </sheetView>
  </sheetViews>
  <sheetFormatPr defaultRowHeight="12.75" x14ac:dyDescent="0.2"/>
  <cols>
    <col min="1" max="1" width="44.57031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ht="15.75" x14ac:dyDescent="0.2">
      <c r="A1" s="304" t="s">
        <v>213</v>
      </c>
    </row>
    <row r="2" spans="1:7" ht="15.75" x14ac:dyDescent="0.2">
      <c r="A2" s="305"/>
    </row>
    <row r="3" spans="1:7" ht="15.75" x14ac:dyDescent="0.2">
      <c r="A3" s="305"/>
    </row>
    <row r="4" spans="1:7" ht="15.75" x14ac:dyDescent="0.2">
      <c r="A4" s="314" t="s">
        <v>314</v>
      </c>
    </row>
    <row r="5" spans="1:7" s="4" customFormat="1" ht="15.6" customHeight="1" x14ac:dyDescent="0.2">
      <c r="A5" s="4" t="s">
        <v>319</v>
      </c>
      <c r="C5" s="139"/>
      <c r="D5" s="139"/>
      <c r="E5" s="139"/>
      <c r="F5" s="139"/>
      <c r="G5" s="6"/>
    </row>
    <row r="6" spans="1:7" s="4" customFormat="1" ht="15.6" customHeight="1" x14ac:dyDescent="0.2">
      <c r="A6" s="107" t="s">
        <v>320</v>
      </c>
      <c r="B6" s="139"/>
      <c r="C6" s="139"/>
      <c r="D6" s="139"/>
      <c r="E6" s="139"/>
      <c r="F6" s="139"/>
      <c r="G6" s="6"/>
    </row>
    <row r="7" spans="1:7" s="4" customFormat="1" ht="15.6" customHeight="1" x14ac:dyDescent="0.2">
      <c r="A7" s="304" t="s">
        <v>214</v>
      </c>
      <c r="B7" s="139"/>
      <c r="C7" s="139"/>
      <c r="D7" s="139"/>
      <c r="E7" s="139"/>
      <c r="F7" s="139"/>
      <c r="G7" s="6"/>
    </row>
    <row r="8" spans="1:7" s="4" customFormat="1" ht="15.6" customHeight="1" x14ac:dyDescent="0.2">
      <c r="A8" s="314" t="s">
        <v>315</v>
      </c>
      <c r="B8" s="139"/>
      <c r="C8" s="139"/>
      <c r="D8" s="139"/>
      <c r="E8" s="139"/>
      <c r="F8" s="139"/>
      <c r="G8" s="6"/>
    </row>
    <row r="9" spans="1:7" s="4" customFormat="1" ht="15.6" customHeight="1" x14ac:dyDescent="0.2">
      <c r="A9" s="305"/>
      <c r="B9" s="139"/>
      <c r="C9" s="139"/>
      <c r="D9" s="139"/>
      <c r="E9" s="139"/>
      <c r="F9" s="139"/>
      <c r="G9" s="6"/>
    </row>
    <row r="10" spans="1:7" s="4" customFormat="1" ht="16.5" customHeight="1" thickBot="1" x14ac:dyDescent="0.25">
      <c r="A10" s="7"/>
      <c r="B10" s="5"/>
      <c r="C10" s="5"/>
      <c r="D10" s="6"/>
      <c r="E10" s="6"/>
      <c r="F10" s="6"/>
      <c r="G10" s="6"/>
    </row>
    <row r="11" spans="1:7" s="8" customFormat="1" ht="18" x14ac:dyDescent="0.2">
      <c r="A11" s="320" t="s">
        <v>235</v>
      </c>
      <c r="B11" s="321"/>
      <c r="C11" s="321"/>
      <c r="D11" s="321"/>
      <c r="E11" s="321"/>
      <c r="F11" s="322"/>
      <c r="G11" s="36"/>
    </row>
    <row r="12" spans="1:7" s="8" customFormat="1" ht="21.75" customHeight="1" x14ac:dyDescent="0.2">
      <c r="A12" s="323" t="s">
        <v>45</v>
      </c>
      <c r="B12" s="324"/>
      <c r="C12" s="324"/>
      <c r="D12" s="324"/>
      <c r="E12" s="324"/>
      <c r="F12" s="325"/>
      <c r="G12" s="36"/>
    </row>
    <row r="13" spans="1:7" s="4" customFormat="1" ht="10.9" customHeight="1" thickBot="1" x14ac:dyDescent="0.25">
      <c r="A13" s="151"/>
      <c r="B13" s="152"/>
      <c r="C13" s="152"/>
      <c r="D13" s="153"/>
      <c r="E13" s="153"/>
      <c r="F13" s="154"/>
      <c r="G13" s="6"/>
    </row>
    <row r="14" spans="1:7" s="4" customFormat="1" ht="15.75" customHeight="1" thickBot="1" x14ac:dyDescent="0.25">
      <c r="A14" s="329" t="s">
        <v>212</v>
      </c>
      <c r="B14" s="330"/>
      <c r="C14" s="330"/>
      <c r="D14" s="330"/>
      <c r="E14" s="330"/>
      <c r="F14" s="331"/>
      <c r="G14" s="6"/>
    </row>
    <row r="15" spans="1:7" s="4" customFormat="1" ht="15.75" customHeight="1" x14ac:dyDescent="0.2">
      <c r="A15" s="64" t="s">
        <v>211</v>
      </c>
      <c r="B15" s="40"/>
      <c r="C15" s="40"/>
      <c r="D15" s="261"/>
      <c r="E15" s="116" t="s">
        <v>40</v>
      </c>
      <c r="F15" s="41" t="s">
        <v>2</v>
      </c>
      <c r="G15" s="6"/>
    </row>
    <row r="16" spans="1:7" s="11" customFormat="1" ht="15.75" customHeight="1" x14ac:dyDescent="0.2">
      <c r="A16" s="126" t="str">
        <f>A53</f>
        <v>1. Mão-de-obra</v>
      </c>
      <c r="B16" s="127"/>
      <c r="C16" s="128"/>
      <c r="D16" s="128"/>
      <c r="E16" s="258">
        <f>+F143</f>
        <v>0</v>
      </c>
      <c r="F16" s="129">
        <f>IFERROR(E16/$E$36,0)</f>
        <v>0</v>
      </c>
      <c r="G16" s="44"/>
    </row>
    <row r="17" spans="1:7" s="4" customFormat="1" ht="15.75" customHeight="1" x14ac:dyDescent="0.2">
      <c r="A17" s="49" t="str">
        <f>A55</f>
        <v>1.1. Coletor Turno Dia</v>
      </c>
      <c r="B17" s="45"/>
      <c r="C17" s="47"/>
      <c r="D17" s="47"/>
      <c r="E17" s="259">
        <f>F66</f>
        <v>0</v>
      </c>
      <c r="F17" s="58">
        <f>IFERROR(E17/$E$36,0)</f>
        <v>0</v>
      </c>
      <c r="G17" s="6"/>
    </row>
    <row r="18" spans="1:7" s="4" customFormat="1" ht="15.75" customHeight="1" x14ac:dyDescent="0.2">
      <c r="A18" s="49" t="str">
        <f>A68</f>
        <v>1.2. Coletor Turno Noite</v>
      </c>
      <c r="B18" s="45"/>
      <c r="C18" s="47"/>
      <c r="D18" s="47"/>
      <c r="E18" s="259">
        <f>F85</f>
        <v>0</v>
      </c>
      <c r="F18" s="58">
        <f t="shared" ref="F18:F35" si="0">IFERROR(E18/$E$36,0)</f>
        <v>0</v>
      </c>
      <c r="G18" s="6"/>
    </row>
    <row r="19" spans="1:7" s="4" customFormat="1" ht="15.75" customHeight="1" x14ac:dyDescent="0.2">
      <c r="A19" s="49" t="str">
        <f>A87</f>
        <v>1.3. Motorista Turno do Dia</v>
      </c>
      <c r="B19" s="45"/>
      <c r="C19" s="47"/>
      <c r="D19" s="47"/>
      <c r="E19" s="259">
        <f>F100</f>
        <v>0</v>
      </c>
      <c r="F19" s="58">
        <f t="shared" si="0"/>
        <v>0</v>
      </c>
      <c r="G19" s="6"/>
    </row>
    <row r="20" spans="1:7" s="4" customFormat="1" ht="15.75" customHeight="1" x14ac:dyDescent="0.2">
      <c r="A20" s="49" t="str">
        <f>A102</f>
        <v>1.4. Motorista Turno Noite</v>
      </c>
      <c r="B20" s="45"/>
      <c r="C20" s="47"/>
      <c r="D20" s="47"/>
      <c r="E20" s="259">
        <f>F121</f>
        <v>0</v>
      </c>
      <c r="F20" s="58">
        <f t="shared" si="0"/>
        <v>0</v>
      </c>
      <c r="G20" s="6"/>
    </row>
    <row r="21" spans="1:7" s="4" customFormat="1" ht="15.75" customHeight="1" x14ac:dyDescent="0.2">
      <c r="A21" s="49" t="str">
        <f>A123</f>
        <v>1.5. Vale Transporte</v>
      </c>
      <c r="B21" s="45"/>
      <c r="C21" s="47"/>
      <c r="D21" s="47"/>
      <c r="E21" s="259">
        <f>F129</f>
        <v>0</v>
      </c>
      <c r="F21" s="58">
        <f t="shared" si="0"/>
        <v>0</v>
      </c>
      <c r="G21" s="6"/>
    </row>
    <row r="22" spans="1:7" s="4" customFormat="1" ht="15.75" customHeight="1" x14ac:dyDescent="0.2">
      <c r="A22" s="49" t="str">
        <f>A131</f>
        <v>1.6. Vale-refeição (diário)</v>
      </c>
      <c r="B22" s="45"/>
      <c r="C22" s="47"/>
      <c r="D22" s="47"/>
      <c r="E22" s="259">
        <f>F135</f>
        <v>0</v>
      </c>
      <c r="F22" s="58">
        <f t="shared" si="0"/>
        <v>0</v>
      </c>
      <c r="G22" s="6"/>
    </row>
    <row r="23" spans="1:7" s="4" customFormat="1" ht="15.75" customHeight="1" x14ac:dyDescent="0.2">
      <c r="A23" s="49" t="str">
        <f>A137</f>
        <v>1.7. Auxílio Alimentação (mensal)</v>
      </c>
      <c r="B23" s="45"/>
      <c r="C23" s="47"/>
      <c r="D23" s="47"/>
      <c r="E23" s="259">
        <f>F141</f>
        <v>0</v>
      </c>
      <c r="F23" s="58">
        <f t="shared" si="0"/>
        <v>0</v>
      </c>
      <c r="G23" s="6"/>
    </row>
    <row r="24" spans="1:7" s="11" customFormat="1" ht="15.75" customHeight="1" x14ac:dyDescent="0.2">
      <c r="A24" s="318" t="str">
        <f>A145</f>
        <v>2. Uniformes e Equipamentos de Proteção Individual</v>
      </c>
      <c r="B24" s="319"/>
      <c r="C24" s="319"/>
      <c r="D24" s="128"/>
      <c r="E24" s="258">
        <f>+F177</f>
        <v>0</v>
      </c>
      <c r="F24" s="129">
        <f t="shared" si="0"/>
        <v>0</v>
      </c>
      <c r="G24" s="44"/>
    </row>
    <row r="25" spans="1:7" s="11" customFormat="1" ht="15.75" customHeight="1" x14ac:dyDescent="0.2">
      <c r="A25" s="137" t="str">
        <f>A179</f>
        <v>3. Veículos e Equipamentos</v>
      </c>
      <c r="B25" s="138"/>
      <c r="C25" s="128"/>
      <c r="D25" s="128"/>
      <c r="E25" s="258">
        <f>+F256</f>
        <v>0</v>
      </c>
      <c r="F25" s="129">
        <f t="shared" si="0"/>
        <v>0</v>
      </c>
      <c r="G25" s="44"/>
    </row>
    <row r="26" spans="1:7" s="4" customFormat="1" ht="15.75" customHeight="1" x14ac:dyDescent="0.2">
      <c r="A26" s="65" t="str">
        <f>A181</f>
        <v>3.1. Veículo Coletor Compactador 15 m³</v>
      </c>
      <c r="B26" s="46"/>
      <c r="C26" s="47"/>
      <c r="D26" s="47"/>
      <c r="E26" s="259">
        <f>SUM(E27:E32)</f>
        <v>0</v>
      </c>
      <c r="F26" s="144">
        <f t="shared" si="0"/>
        <v>0</v>
      </c>
      <c r="G26" s="6"/>
    </row>
    <row r="27" spans="1:7" s="4" customFormat="1" ht="15.75" customHeight="1" x14ac:dyDescent="0.2">
      <c r="A27" s="65" t="str">
        <f>A183</f>
        <v>3.1.1. Depreciação</v>
      </c>
      <c r="B27" s="46"/>
      <c r="C27" s="47"/>
      <c r="D27" s="47"/>
      <c r="E27" s="259">
        <f>F197</f>
        <v>0</v>
      </c>
      <c r="F27" s="144">
        <f t="shared" si="0"/>
        <v>0</v>
      </c>
      <c r="G27" s="6"/>
    </row>
    <row r="28" spans="1:7" s="4" customFormat="1" ht="15.75" customHeight="1" x14ac:dyDescent="0.2">
      <c r="A28" s="65" t="str">
        <f>A199</f>
        <v>3.1.2. Remuneração do Capital</v>
      </c>
      <c r="B28" s="46"/>
      <c r="C28" s="47"/>
      <c r="D28" s="47"/>
      <c r="E28" s="259">
        <f>F213</f>
        <v>0</v>
      </c>
      <c r="F28" s="144">
        <f t="shared" si="0"/>
        <v>0</v>
      </c>
      <c r="G28" s="6"/>
    </row>
    <row r="29" spans="1:7" s="4" customFormat="1" ht="15.75" customHeight="1" x14ac:dyDescent="0.2">
      <c r="A29" s="65" t="str">
        <f>A215</f>
        <v>3.1.3. Impostos e Seguros</v>
      </c>
      <c r="B29" s="46"/>
      <c r="C29" s="47"/>
      <c r="D29" s="47"/>
      <c r="E29" s="259">
        <f>F221</f>
        <v>0</v>
      </c>
      <c r="F29" s="144">
        <f t="shared" si="0"/>
        <v>0</v>
      </c>
      <c r="G29" s="6"/>
    </row>
    <row r="30" spans="1:7" s="4" customFormat="1" ht="15.75" customHeight="1" x14ac:dyDescent="0.2">
      <c r="A30" s="65" t="str">
        <f>A223</f>
        <v>3.1.4. Consumos</v>
      </c>
      <c r="B30" s="46"/>
      <c r="C30" s="47"/>
      <c r="D30" s="47"/>
      <c r="E30" s="259">
        <f>F239</f>
        <v>0</v>
      </c>
      <c r="F30" s="144">
        <f t="shared" si="0"/>
        <v>0</v>
      </c>
      <c r="G30" s="6"/>
    </row>
    <row r="31" spans="1:7" s="4" customFormat="1" ht="15.75" customHeight="1" x14ac:dyDescent="0.2">
      <c r="A31" s="65" t="str">
        <f>A241</f>
        <v>3.1.5. Manutenção</v>
      </c>
      <c r="B31" s="46"/>
      <c r="C31" s="47"/>
      <c r="D31" s="47"/>
      <c r="E31" s="259">
        <f>F244</f>
        <v>0</v>
      </c>
      <c r="F31" s="144">
        <f t="shared" si="0"/>
        <v>0</v>
      </c>
      <c r="G31" s="6"/>
    </row>
    <row r="32" spans="1:7" s="4" customFormat="1" ht="15.75" customHeight="1" x14ac:dyDescent="0.2">
      <c r="A32" s="65" t="str">
        <f>A246</f>
        <v>3.1.6. Pneus</v>
      </c>
      <c r="B32" s="46"/>
      <c r="C32" s="47"/>
      <c r="D32" s="47"/>
      <c r="E32" s="259">
        <f>F253</f>
        <v>0</v>
      </c>
      <c r="F32" s="144">
        <f t="shared" si="0"/>
        <v>0</v>
      </c>
      <c r="G32" s="6"/>
    </row>
    <row r="33" spans="1:7" s="11" customFormat="1" ht="15.75" customHeight="1" x14ac:dyDescent="0.2">
      <c r="A33" s="137" t="str">
        <f>A258</f>
        <v>4. Ferramentas e Materiais de Consumo</v>
      </c>
      <c r="B33" s="138"/>
      <c r="C33" s="128"/>
      <c r="D33" s="128"/>
      <c r="E33" s="258">
        <f>+F268</f>
        <v>0</v>
      </c>
      <c r="F33" s="129">
        <f t="shared" si="0"/>
        <v>0</v>
      </c>
      <c r="G33" s="44"/>
    </row>
    <row r="34" spans="1:7" s="11" customFormat="1" ht="15.75" customHeight="1" x14ac:dyDescent="0.2">
      <c r="A34" s="137" t="str">
        <f>A270</f>
        <v>5. Monitoramento da Frota</v>
      </c>
      <c r="B34" s="138"/>
      <c r="C34" s="128"/>
      <c r="D34" s="128"/>
      <c r="E34" s="258">
        <f>+F279</f>
        <v>0</v>
      </c>
      <c r="F34" s="129">
        <f t="shared" si="0"/>
        <v>0</v>
      </c>
      <c r="G34" s="44"/>
    </row>
    <row r="35" spans="1:7" s="11" customFormat="1" ht="15.75" customHeight="1" thickBot="1" x14ac:dyDescent="0.25">
      <c r="A35" s="137" t="str">
        <f>A283</f>
        <v>6. Benefícios e Despesas Indiretas - BDI</v>
      </c>
      <c r="B35" s="138"/>
      <c r="C35" s="128"/>
      <c r="D35" s="128"/>
      <c r="E35" s="260">
        <f>+F294</f>
        <v>0</v>
      </c>
      <c r="F35" s="129">
        <f t="shared" si="0"/>
        <v>0</v>
      </c>
      <c r="G35" s="44"/>
    </row>
    <row r="36" spans="1:7" s="4" customFormat="1" ht="15.75" customHeight="1" thickBot="1" x14ac:dyDescent="0.25">
      <c r="A36" s="42" t="s">
        <v>256</v>
      </c>
      <c r="B36" s="43"/>
      <c r="C36" s="26"/>
      <c r="D36" s="26"/>
      <c r="E36" s="115">
        <f>E16+E24+E25+E33+E34+E35</f>
        <v>0</v>
      </c>
      <c r="F36" s="143">
        <f>F16+F24+F25+F33+F34+F35</f>
        <v>0</v>
      </c>
      <c r="G36" s="6"/>
    </row>
    <row r="38" spans="1:7" ht="13.5" thickBot="1" x14ac:dyDescent="0.25"/>
    <row r="39" spans="1:7" s="4" customFormat="1" ht="15" customHeight="1" thickBot="1" x14ac:dyDescent="0.25">
      <c r="A39" s="329" t="s">
        <v>102</v>
      </c>
      <c r="B39" s="330"/>
      <c r="C39" s="330"/>
      <c r="D39" s="330"/>
      <c r="E39" s="331"/>
      <c r="F39" s="10"/>
      <c r="G39" s="6"/>
    </row>
    <row r="40" spans="1:7" s="4" customFormat="1" ht="15" customHeight="1" thickBot="1" x14ac:dyDescent="0.25">
      <c r="A40" s="326" t="s">
        <v>41</v>
      </c>
      <c r="B40" s="327"/>
      <c r="C40" s="327"/>
      <c r="D40" s="328"/>
      <c r="E40" s="48" t="s">
        <v>42</v>
      </c>
      <c r="F40" s="10"/>
      <c r="G40" s="6"/>
    </row>
    <row r="41" spans="1:7" s="4" customFormat="1" ht="15" customHeight="1" x14ac:dyDescent="0.2">
      <c r="A41" s="73" t="str">
        <f>+A55</f>
        <v>1.1. Coletor Turno Dia</v>
      </c>
      <c r="B41" s="74"/>
      <c r="C41" s="74"/>
      <c r="D41" s="75"/>
      <c r="E41" s="76">
        <v>3</v>
      </c>
      <c r="F41" s="10"/>
      <c r="G41" s="6"/>
    </row>
    <row r="42" spans="1:7" s="4" customFormat="1" ht="15" customHeight="1" x14ac:dyDescent="0.2">
      <c r="A42" s="67" t="str">
        <f>+A68</f>
        <v>1.2. Coletor Turno Noite</v>
      </c>
      <c r="B42" s="66"/>
      <c r="C42" s="66"/>
      <c r="D42" s="77"/>
      <c r="E42" s="70">
        <f>C84</f>
        <v>0</v>
      </c>
      <c r="F42" s="10"/>
      <c r="G42" s="6"/>
    </row>
    <row r="43" spans="1:7" s="4" customFormat="1" ht="15" customHeight="1" x14ac:dyDescent="0.2">
      <c r="A43" s="67" t="str">
        <f>+A87</f>
        <v>1.3. Motorista Turno do Dia</v>
      </c>
      <c r="B43" s="66"/>
      <c r="C43" s="66"/>
      <c r="D43" s="77"/>
      <c r="E43" s="70">
        <v>1</v>
      </c>
      <c r="F43" s="10"/>
      <c r="G43" s="6"/>
    </row>
    <row r="44" spans="1:7" s="4" customFormat="1" ht="15" customHeight="1" x14ac:dyDescent="0.2">
      <c r="A44" s="67" t="str">
        <f>+A102</f>
        <v>1.4. Motorista Turno Noite</v>
      </c>
      <c r="B44" s="66"/>
      <c r="C44" s="66"/>
      <c r="D44" s="77"/>
      <c r="E44" s="70">
        <f>C120</f>
        <v>0</v>
      </c>
      <c r="F44" s="10"/>
      <c r="G44" s="6"/>
    </row>
    <row r="45" spans="1:7" s="4" customFormat="1" ht="15" customHeight="1" thickBot="1" x14ac:dyDescent="0.25">
      <c r="A45" s="71" t="s">
        <v>61</v>
      </c>
      <c r="B45" s="72"/>
      <c r="C45" s="72"/>
      <c r="D45" s="78"/>
      <c r="E45" s="79">
        <f>SUM(E41:E44)</f>
        <v>4</v>
      </c>
      <c r="F45" s="10"/>
      <c r="G45" s="6"/>
    </row>
    <row r="46" spans="1:7" s="4" customFormat="1" ht="15" customHeight="1" thickBot="1" x14ac:dyDescent="0.25">
      <c r="A46" s="130"/>
      <c r="B46" s="131"/>
      <c r="C46" s="59"/>
      <c r="D46" s="59"/>
      <c r="E46" s="132"/>
      <c r="F46" s="10"/>
      <c r="G46" s="6"/>
    </row>
    <row r="47" spans="1:7" s="4" customFormat="1" ht="15" customHeight="1" x14ac:dyDescent="0.2">
      <c r="A47" s="316" t="s">
        <v>58</v>
      </c>
      <c r="B47" s="317"/>
      <c r="C47" s="317"/>
      <c r="D47" s="317"/>
      <c r="E47" s="48" t="s">
        <v>42</v>
      </c>
      <c r="F47" s="9"/>
      <c r="G47" s="6"/>
    </row>
    <row r="48" spans="1:7" s="4" customFormat="1" ht="15" customHeight="1" thickBot="1" x14ac:dyDescent="0.25">
      <c r="A48" s="133" t="str">
        <f>+A181</f>
        <v>3.1. Veículo Coletor Compactador 15 m³</v>
      </c>
      <c r="B48" s="134"/>
      <c r="C48" s="134"/>
      <c r="D48" s="135"/>
      <c r="E48" s="136">
        <v>1</v>
      </c>
      <c r="F48" s="9"/>
      <c r="G48" s="6"/>
    </row>
    <row r="49" spans="1:7" s="4" customFormat="1" ht="15" customHeight="1" x14ac:dyDescent="0.2">
      <c r="A49" s="59"/>
      <c r="B49" s="59"/>
      <c r="C49" s="59"/>
      <c r="D49" s="54"/>
      <c r="E49" s="251"/>
      <c r="F49" s="9"/>
      <c r="G49" s="6"/>
    </row>
    <row r="50" spans="1:7" s="4" customFormat="1" ht="13.5" thickBot="1" x14ac:dyDescent="0.25">
      <c r="A50" s="59"/>
      <c r="B50" s="59"/>
      <c r="C50" s="59"/>
      <c r="D50" s="54"/>
      <c r="E50" s="68"/>
      <c r="F50" s="9"/>
      <c r="G50" s="6"/>
    </row>
    <row r="51" spans="1:7" s="11" customFormat="1" ht="15.75" customHeight="1" thickBot="1" x14ac:dyDescent="0.25">
      <c r="A51" s="262" t="s">
        <v>206</v>
      </c>
      <c r="B51" s="263"/>
      <c r="C51" s="35"/>
      <c r="D51" s="34"/>
      <c r="E51" s="156"/>
      <c r="G51" s="44"/>
    </row>
    <row r="52" spans="1:7" s="4" customFormat="1" ht="15.75" customHeight="1" x14ac:dyDescent="0.2">
      <c r="A52" s="59"/>
      <c r="B52" s="59"/>
      <c r="C52" s="59"/>
      <c r="D52" s="54"/>
      <c r="E52" s="68"/>
      <c r="F52" s="9"/>
      <c r="G52" s="6"/>
    </row>
    <row r="53" spans="1:7" ht="13.15" customHeight="1" x14ac:dyDescent="0.2">
      <c r="A53" s="11" t="s">
        <v>49</v>
      </c>
    </row>
    <row r="54" spans="1:7" ht="11.25" customHeight="1" x14ac:dyDescent="0.2"/>
    <row r="55" spans="1:7" ht="13.9" customHeight="1" thickBot="1" x14ac:dyDescent="0.25">
      <c r="A55" s="9" t="s">
        <v>105</v>
      </c>
    </row>
    <row r="56" spans="1:7" ht="13.9" customHeight="1" thickBot="1" x14ac:dyDescent="0.25">
      <c r="A56" s="60" t="s">
        <v>66</v>
      </c>
      <c r="B56" s="61" t="s">
        <v>67</v>
      </c>
      <c r="C56" s="61" t="s">
        <v>42</v>
      </c>
      <c r="D56" s="62" t="s">
        <v>252</v>
      </c>
      <c r="E56" s="62" t="s">
        <v>68</v>
      </c>
      <c r="F56" s="63" t="s">
        <v>69</v>
      </c>
    </row>
    <row r="57" spans="1:7" ht="13.15" customHeight="1" x14ac:dyDescent="0.2">
      <c r="A57" s="13" t="s">
        <v>228</v>
      </c>
      <c r="B57" s="14" t="s">
        <v>8</v>
      </c>
      <c r="C57" s="14">
        <v>1</v>
      </c>
      <c r="D57" s="87"/>
      <c r="E57" s="15">
        <f>C57*D57</f>
        <v>0</v>
      </c>
    </row>
    <row r="58" spans="1:7" x14ac:dyDescent="0.2">
      <c r="A58" s="16" t="s">
        <v>36</v>
      </c>
      <c r="B58" s="17" t="s">
        <v>0</v>
      </c>
      <c r="C58" s="88"/>
      <c r="D58" s="18">
        <f>D57/220*2</f>
        <v>0</v>
      </c>
      <c r="E58" s="18">
        <f>C58*D58</f>
        <v>0</v>
      </c>
      <c r="G58" s="10" t="s">
        <v>268</v>
      </c>
    </row>
    <row r="59" spans="1:7" ht="13.15" customHeight="1" x14ac:dyDescent="0.2">
      <c r="A59" s="16" t="s">
        <v>37</v>
      </c>
      <c r="B59" s="17" t="s">
        <v>0</v>
      </c>
      <c r="C59" s="88"/>
      <c r="D59" s="18">
        <f>D57/220*1.5</f>
        <v>0</v>
      </c>
      <c r="E59" s="18">
        <f>C59*D59</f>
        <v>0</v>
      </c>
      <c r="G59" s="10" t="s">
        <v>270</v>
      </c>
    </row>
    <row r="60" spans="1:7" ht="13.15" customHeight="1" x14ac:dyDescent="0.2">
      <c r="A60" s="16" t="s">
        <v>232</v>
      </c>
      <c r="B60" s="17" t="s">
        <v>35</v>
      </c>
      <c r="D60" s="18">
        <f>63/302*(SUM(E58:E59))</f>
        <v>0</v>
      </c>
      <c r="E60" s="18">
        <f>D60</f>
        <v>0</v>
      </c>
      <c r="G60" s="10" t="s">
        <v>231</v>
      </c>
    </row>
    <row r="61" spans="1:7" x14ac:dyDescent="0.2">
      <c r="A61" s="16" t="s">
        <v>1</v>
      </c>
      <c r="B61" s="17" t="s">
        <v>2</v>
      </c>
      <c r="C61" s="17">
        <v>40</v>
      </c>
      <c r="D61" s="83">
        <f>SUM(E57:E60)</f>
        <v>0</v>
      </c>
      <c r="E61" s="18">
        <f>C61*D61/100</f>
        <v>0</v>
      </c>
    </row>
    <row r="62" spans="1:7" x14ac:dyDescent="0.2">
      <c r="A62" s="117" t="s">
        <v>3</v>
      </c>
      <c r="B62" s="118"/>
      <c r="C62" s="118"/>
      <c r="D62" s="119"/>
      <c r="E62" s="120">
        <f>SUM(E57:E61)</f>
        <v>0</v>
      </c>
    </row>
    <row r="63" spans="1:7" x14ac:dyDescent="0.2">
      <c r="A63" s="16" t="s">
        <v>4</v>
      </c>
      <c r="B63" s="17" t="s">
        <v>2</v>
      </c>
      <c r="C63" s="141">
        <f>'2.Encargos Sociais'!$C$37*100</f>
        <v>70.595951999999997</v>
      </c>
      <c r="D63" s="18">
        <f>E62</f>
        <v>0</v>
      </c>
      <c r="E63" s="18">
        <f>D63*C63/100</f>
        <v>0</v>
      </c>
    </row>
    <row r="64" spans="1:7" x14ac:dyDescent="0.2">
      <c r="A64" s="117" t="s">
        <v>75</v>
      </c>
      <c r="B64" s="118"/>
      <c r="C64" s="118"/>
      <c r="D64" s="119"/>
      <c r="E64" s="120">
        <f>E62+E63</f>
        <v>0</v>
      </c>
    </row>
    <row r="65" spans="1:7" ht="13.5" thickBot="1" x14ac:dyDescent="0.25">
      <c r="A65" s="16" t="s">
        <v>5</v>
      </c>
      <c r="B65" s="17" t="s">
        <v>6</v>
      </c>
      <c r="C65" s="86">
        <v>3</v>
      </c>
      <c r="D65" s="18">
        <f>E64</f>
        <v>0</v>
      </c>
      <c r="E65" s="18">
        <f>C65*D65</f>
        <v>0</v>
      </c>
      <c r="G65" s="6"/>
    </row>
    <row r="66" spans="1:7" ht="13.9" customHeight="1" thickBot="1" x14ac:dyDescent="0.25">
      <c r="D66" s="124" t="s">
        <v>205</v>
      </c>
      <c r="E66" s="50">
        <f>$B$51</f>
        <v>0</v>
      </c>
      <c r="F66" s="125">
        <f>E65*E66</f>
        <v>0</v>
      </c>
      <c r="G66" s="6"/>
    </row>
    <row r="67" spans="1:7" ht="11.25" customHeight="1" x14ac:dyDescent="0.2"/>
    <row r="68" spans="1:7" ht="13.5" thickBot="1" x14ac:dyDescent="0.25">
      <c r="A68" s="9" t="s">
        <v>94</v>
      </c>
    </row>
    <row r="69" spans="1:7" ht="13.5" thickBot="1" x14ac:dyDescent="0.25">
      <c r="A69" s="60" t="s">
        <v>66</v>
      </c>
      <c r="B69" s="61" t="s">
        <v>67</v>
      </c>
      <c r="C69" s="61" t="s">
        <v>42</v>
      </c>
      <c r="D69" s="62" t="s">
        <v>252</v>
      </c>
      <c r="E69" s="62" t="s">
        <v>68</v>
      </c>
      <c r="F69" s="63" t="s">
        <v>69</v>
      </c>
    </row>
    <row r="70" spans="1:7" x14ac:dyDescent="0.2">
      <c r="A70" s="13" t="s">
        <v>228</v>
      </c>
      <c r="B70" s="14" t="s">
        <v>8</v>
      </c>
      <c r="C70" s="14"/>
      <c r="D70" s="15"/>
      <c r="E70" s="15">
        <f>C70*D70</f>
        <v>0</v>
      </c>
    </row>
    <row r="71" spans="1:7" x14ac:dyDescent="0.2">
      <c r="A71" s="16" t="s">
        <v>7</v>
      </c>
      <c r="B71" s="17" t="s">
        <v>103</v>
      </c>
      <c r="C71" s="88"/>
      <c r="D71" s="18"/>
      <c r="E71" s="18"/>
    </row>
    <row r="72" spans="1:7" x14ac:dyDescent="0.2">
      <c r="A72" s="16"/>
      <c r="B72" s="17" t="s">
        <v>108</v>
      </c>
      <c r="C72" s="121">
        <f>C71*8/7</f>
        <v>0</v>
      </c>
      <c r="D72" s="18">
        <f>D70/220*0.2</f>
        <v>0</v>
      </c>
      <c r="E72" s="18">
        <f>C71*D72</f>
        <v>0</v>
      </c>
    </row>
    <row r="73" spans="1:7" x14ac:dyDescent="0.2">
      <c r="A73" s="16" t="s">
        <v>36</v>
      </c>
      <c r="B73" s="17" t="s">
        <v>0</v>
      </c>
      <c r="C73" s="88"/>
      <c r="D73" s="18">
        <f>D70/220*2</f>
        <v>0</v>
      </c>
      <c r="E73" s="18">
        <f>C73*D73</f>
        <v>0</v>
      </c>
      <c r="G73" s="10" t="s">
        <v>268</v>
      </c>
    </row>
    <row r="74" spans="1:7" x14ac:dyDescent="0.2">
      <c r="A74" s="16" t="s">
        <v>104</v>
      </c>
      <c r="B74" s="17" t="s">
        <v>103</v>
      </c>
      <c r="C74" s="88"/>
      <c r="D74" s="18"/>
      <c r="E74" s="18"/>
      <c r="G74" s="10" t="s">
        <v>269</v>
      </c>
    </row>
    <row r="75" spans="1:7" x14ac:dyDescent="0.2">
      <c r="A75" s="16"/>
      <c r="B75" s="17" t="s">
        <v>108</v>
      </c>
      <c r="C75" s="121">
        <f>C74*8/7</f>
        <v>0</v>
      </c>
      <c r="D75" s="18">
        <f>D70/220*2*1.2</f>
        <v>0</v>
      </c>
      <c r="E75" s="18">
        <f>C75*D75</f>
        <v>0</v>
      </c>
      <c r="G75" s="10" t="s">
        <v>269</v>
      </c>
    </row>
    <row r="76" spans="1:7" x14ac:dyDescent="0.2">
      <c r="A76" s="16" t="s">
        <v>37</v>
      </c>
      <c r="B76" s="17" t="s">
        <v>0</v>
      </c>
      <c r="C76" s="88"/>
      <c r="D76" s="18">
        <f>D70/220*1.5</f>
        <v>0</v>
      </c>
      <c r="E76" s="18">
        <f>C76*D76</f>
        <v>0</v>
      </c>
      <c r="G76" s="10" t="s">
        <v>270</v>
      </c>
    </row>
    <row r="77" spans="1:7" x14ac:dyDescent="0.2">
      <c r="A77" s="16" t="s">
        <v>230</v>
      </c>
      <c r="B77" s="17" t="s">
        <v>103</v>
      </c>
      <c r="C77" s="88"/>
      <c r="D77" s="18"/>
      <c r="E77" s="18"/>
      <c r="G77" s="10" t="s">
        <v>271</v>
      </c>
    </row>
    <row r="78" spans="1:7" x14ac:dyDescent="0.2">
      <c r="A78" s="16"/>
      <c r="B78" s="17" t="s">
        <v>108</v>
      </c>
      <c r="C78" s="18">
        <f>C77*8/7</f>
        <v>0</v>
      </c>
      <c r="D78" s="18">
        <f>D70/220*1.5*1.2</f>
        <v>0</v>
      </c>
      <c r="E78" s="18">
        <f>C78*D78</f>
        <v>0</v>
      </c>
      <c r="G78" s="10" t="s">
        <v>271</v>
      </c>
    </row>
    <row r="79" spans="1:7" ht="13.15" customHeight="1" x14ac:dyDescent="0.2">
      <c r="A79" s="16" t="s">
        <v>232</v>
      </c>
      <c r="B79" s="17" t="s">
        <v>35</v>
      </c>
      <c r="D79" s="18">
        <f>63/302*(SUM(E73:E78))</f>
        <v>0</v>
      </c>
      <c r="E79" s="18">
        <f>D79</f>
        <v>0</v>
      </c>
      <c r="G79" s="10" t="s">
        <v>231</v>
      </c>
    </row>
    <row r="80" spans="1:7" x14ac:dyDescent="0.2">
      <c r="A80" s="16" t="s">
        <v>1</v>
      </c>
      <c r="B80" s="17" t="s">
        <v>2</v>
      </c>
      <c r="C80" s="17">
        <f>+C61</f>
        <v>40</v>
      </c>
      <c r="D80" s="83">
        <f>SUM(E70:E79)</f>
        <v>0</v>
      </c>
      <c r="E80" s="18">
        <f>C80*D80/100</f>
        <v>0</v>
      </c>
    </row>
    <row r="81" spans="1:7" x14ac:dyDescent="0.2">
      <c r="A81" s="117" t="s">
        <v>3</v>
      </c>
      <c r="B81" s="118"/>
      <c r="C81" s="118"/>
      <c r="D81" s="119"/>
      <c r="E81" s="120">
        <f>SUM(E70:E80)</f>
        <v>0</v>
      </c>
    </row>
    <row r="82" spans="1:7" x14ac:dyDescent="0.2">
      <c r="A82" s="16" t="s">
        <v>4</v>
      </c>
      <c r="B82" s="17" t="s">
        <v>2</v>
      </c>
      <c r="C82" s="141">
        <f>'2.Encargos Sociais'!$C$37*100</f>
        <v>70.595951999999997</v>
      </c>
      <c r="D82" s="18">
        <f>E81</f>
        <v>0</v>
      </c>
      <c r="E82" s="18">
        <f>D82*C82/100</f>
        <v>0</v>
      </c>
    </row>
    <row r="83" spans="1:7" x14ac:dyDescent="0.2">
      <c r="A83" s="117" t="s">
        <v>75</v>
      </c>
      <c r="B83" s="118"/>
      <c r="C83" s="118"/>
      <c r="D83" s="119"/>
      <c r="E83" s="120">
        <f>E81+E82</f>
        <v>0</v>
      </c>
    </row>
    <row r="84" spans="1:7" ht="13.5" thickBot="1" x14ac:dyDescent="0.25">
      <c r="A84" s="16" t="s">
        <v>5</v>
      </c>
      <c r="B84" s="17" t="s">
        <v>6</v>
      </c>
      <c r="C84" s="86"/>
      <c r="D84" s="18">
        <f>E83</f>
        <v>0</v>
      </c>
      <c r="E84" s="18">
        <f>C84*D84</f>
        <v>0</v>
      </c>
    </row>
    <row r="85" spans="1:7" ht="13.5" thickBot="1" x14ac:dyDescent="0.25">
      <c r="D85" s="124" t="s">
        <v>205</v>
      </c>
      <c r="E85" s="50">
        <f>$B$51</f>
        <v>0</v>
      </c>
      <c r="F85" s="125">
        <f>E84*E85</f>
        <v>0</v>
      </c>
    </row>
    <row r="86" spans="1:7" ht="11.25" customHeight="1" x14ac:dyDescent="0.2"/>
    <row r="87" spans="1:7" ht="13.5" thickBot="1" x14ac:dyDescent="0.25">
      <c r="A87" s="9" t="s">
        <v>106</v>
      </c>
    </row>
    <row r="88" spans="1:7" s="12" customFormat="1" ht="13.15" customHeight="1" thickBot="1" x14ac:dyDescent="0.25">
      <c r="A88" s="60" t="s">
        <v>66</v>
      </c>
      <c r="B88" s="61" t="s">
        <v>67</v>
      </c>
      <c r="C88" s="61" t="s">
        <v>42</v>
      </c>
      <c r="D88" s="62" t="s">
        <v>252</v>
      </c>
      <c r="E88" s="62" t="s">
        <v>68</v>
      </c>
      <c r="F88" s="63" t="s">
        <v>69</v>
      </c>
      <c r="G88" s="10"/>
    </row>
    <row r="89" spans="1:7" x14ac:dyDescent="0.2">
      <c r="A89" s="308" t="s">
        <v>308</v>
      </c>
      <c r="B89" s="14" t="s">
        <v>8</v>
      </c>
      <c r="C89" s="14">
        <v>1</v>
      </c>
      <c r="D89" s="87"/>
      <c r="E89" s="15">
        <f>C89*D89</f>
        <v>0</v>
      </c>
    </row>
    <row r="90" spans="1:7" x14ac:dyDescent="0.2">
      <c r="A90" s="308" t="s">
        <v>309</v>
      </c>
      <c r="B90" s="14" t="s">
        <v>8</v>
      </c>
      <c r="C90" s="14">
        <v>1</v>
      </c>
      <c r="D90" s="87"/>
      <c r="E90" s="15"/>
    </row>
    <row r="91" spans="1:7" x14ac:dyDescent="0.2">
      <c r="A91" s="16" t="s">
        <v>36</v>
      </c>
      <c r="B91" s="17" t="s">
        <v>0</v>
      </c>
      <c r="C91" s="88"/>
      <c r="D91" s="18">
        <f>D89/220*2</f>
        <v>0</v>
      </c>
      <c r="E91" s="18">
        <f>C91*D91</f>
        <v>0</v>
      </c>
      <c r="G91" s="10" t="s">
        <v>268</v>
      </c>
    </row>
    <row r="92" spans="1:7" x14ac:dyDescent="0.2">
      <c r="A92" s="16" t="s">
        <v>37</v>
      </c>
      <c r="B92" s="17" t="s">
        <v>0</v>
      </c>
      <c r="C92" s="88"/>
      <c r="D92" s="18">
        <f>D89/220*1.5</f>
        <v>0</v>
      </c>
      <c r="E92" s="18">
        <f>C92*D92</f>
        <v>0</v>
      </c>
      <c r="G92" s="10" t="s">
        <v>270</v>
      </c>
    </row>
    <row r="93" spans="1:7" ht="13.15" customHeight="1" x14ac:dyDescent="0.2">
      <c r="A93" s="16" t="s">
        <v>232</v>
      </c>
      <c r="B93" s="17" t="s">
        <v>35</v>
      </c>
      <c r="D93" s="18">
        <f>63/302*(SUM(E91:E92))</f>
        <v>0</v>
      </c>
      <c r="E93" s="18">
        <f>D93</f>
        <v>0</v>
      </c>
      <c r="G93" s="10" t="s">
        <v>231</v>
      </c>
    </row>
    <row r="94" spans="1:7" x14ac:dyDescent="0.2">
      <c r="A94" s="16" t="s">
        <v>229</v>
      </c>
      <c r="B94" s="17"/>
      <c r="C94" s="90"/>
      <c r="D94" s="18"/>
      <c r="E94" s="18"/>
    </row>
    <row r="95" spans="1:7" x14ac:dyDescent="0.2">
      <c r="A95" s="16" t="s">
        <v>1</v>
      </c>
      <c r="B95" s="17" t="s">
        <v>2</v>
      </c>
      <c r="C95" s="86"/>
      <c r="D95" s="83">
        <f>IF(C94=2,SUM(E89:E93),IF(C94=1,(SUM(E89:E93))*D90/D89,0))</f>
        <v>0</v>
      </c>
      <c r="E95" s="18">
        <f>C95*D95/100</f>
        <v>0</v>
      </c>
    </row>
    <row r="96" spans="1:7" s="11" customFormat="1" x14ac:dyDescent="0.2">
      <c r="A96" s="103" t="s">
        <v>3</v>
      </c>
      <c r="B96" s="118"/>
      <c r="C96" s="118"/>
      <c r="D96" s="119"/>
      <c r="E96" s="105">
        <f>SUM(E89:E95)</f>
        <v>0</v>
      </c>
      <c r="F96" s="44"/>
      <c r="G96" s="44"/>
    </row>
    <row r="97" spans="1:7" x14ac:dyDescent="0.2">
      <c r="A97" s="16" t="s">
        <v>4</v>
      </c>
      <c r="B97" s="17" t="s">
        <v>2</v>
      </c>
      <c r="C97" s="141">
        <f>'2.Encargos Sociais'!$C$37*100</f>
        <v>70.595951999999997</v>
      </c>
      <c r="D97" s="18">
        <f>E96</f>
        <v>0</v>
      </c>
      <c r="E97" s="18">
        <f>D97*C97/100</f>
        <v>0</v>
      </c>
    </row>
    <row r="98" spans="1:7" s="11" customFormat="1" x14ac:dyDescent="0.2">
      <c r="A98" s="103" t="s">
        <v>272</v>
      </c>
      <c r="B98" s="269"/>
      <c r="C98" s="269"/>
      <c r="D98" s="270"/>
      <c r="E98" s="105">
        <f>E96+E97</f>
        <v>0</v>
      </c>
      <c r="F98" s="44"/>
      <c r="G98" s="44"/>
    </row>
    <row r="99" spans="1:7" ht="13.5" thickBot="1" x14ac:dyDescent="0.25">
      <c r="A99" s="16" t="s">
        <v>5</v>
      </c>
      <c r="B99" s="17" t="s">
        <v>6</v>
      </c>
      <c r="C99" s="86">
        <v>1</v>
      </c>
      <c r="D99" s="18">
        <f>E98</f>
        <v>0</v>
      </c>
      <c r="E99" s="18">
        <f>C99*D99</f>
        <v>0</v>
      </c>
    </row>
    <row r="100" spans="1:7" ht="13.5" thickBot="1" x14ac:dyDescent="0.25">
      <c r="D100" s="124" t="s">
        <v>205</v>
      </c>
      <c r="E100" s="50">
        <f>$B$51</f>
        <v>0</v>
      </c>
      <c r="F100" s="125">
        <f>E99*E100</f>
        <v>0</v>
      </c>
    </row>
    <row r="101" spans="1:7" ht="11.25" customHeight="1" x14ac:dyDescent="0.2"/>
    <row r="102" spans="1:7" ht="13.5" thickBot="1" x14ac:dyDescent="0.25">
      <c r="A102" s="9" t="s">
        <v>107</v>
      </c>
    </row>
    <row r="103" spans="1:7" ht="13.5" thickBot="1" x14ac:dyDescent="0.25">
      <c r="A103" s="60" t="s">
        <v>66</v>
      </c>
      <c r="B103" s="61" t="s">
        <v>67</v>
      </c>
      <c r="C103" s="61" t="s">
        <v>42</v>
      </c>
      <c r="D103" s="62" t="s">
        <v>252</v>
      </c>
      <c r="E103" s="62" t="s">
        <v>68</v>
      </c>
      <c r="F103" s="63" t="s">
        <v>69</v>
      </c>
    </row>
    <row r="104" spans="1:7" x14ac:dyDescent="0.2">
      <c r="A104" s="308" t="s">
        <v>308</v>
      </c>
      <c r="B104" s="14" t="s">
        <v>8</v>
      </c>
      <c r="C104" s="14"/>
      <c r="D104" s="15"/>
      <c r="E104" s="15">
        <f>C104*D104</f>
        <v>0</v>
      </c>
    </row>
    <row r="105" spans="1:7" x14ac:dyDescent="0.2">
      <c r="A105" s="308" t="s">
        <v>309</v>
      </c>
      <c r="B105" s="14" t="s">
        <v>8</v>
      </c>
      <c r="C105" s="14"/>
      <c r="D105" s="18"/>
      <c r="E105" s="18"/>
    </row>
    <row r="106" spans="1:7" x14ac:dyDescent="0.2">
      <c r="A106" s="16" t="s">
        <v>7</v>
      </c>
      <c r="B106" s="17" t="s">
        <v>103</v>
      </c>
      <c r="C106" s="88"/>
      <c r="D106" s="16"/>
      <c r="E106" s="16"/>
    </row>
    <row r="107" spans="1:7" x14ac:dyDescent="0.2">
      <c r="A107" s="16"/>
      <c r="B107" s="17" t="s">
        <v>108</v>
      </c>
      <c r="C107" s="18">
        <f>C106*8/7</f>
        <v>0</v>
      </c>
      <c r="D107" s="18">
        <f>D104/220*0.2</f>
        <v>0</v>
      </c>
      <c r="E107" s="18">
        <f>C106*D107</f>
        <v>0</v>
      </c>
    </row>
    <row r="108" spans="1:7" x14ac:dyDescent="0.2">
      <c r="A108" s="16" t="s">
        <v>36</v>
      </c>
      <c r="B108" s="17" t="s">
        <v>0</v>
      </c>
      <c r="C108" s="88"/>
      <c r="D108" s="18">
        <f>D104/220*2</f>
        <v>0</v>
      </c>
      <c r="E108" s="18">
        <f>C108*D108</f>
        <v>0</v>
      </c>
      <c r="G108" s="10" t="s">
        <v>268</v>
      </c>
    </row>
    <row r="109" spans="1:7" x14ac:dyDescent="0.2">
      <c r="A109" s="16" t="s">
        <v>104</v>
      </c>
      <c r="B109" s="17" t="s">
        <v>103</v>
      </c>
      <c r="C109" s="88"/>
      <c r="D109" s="18"/>
      <c r="E109" s="18"/>
      <c r="G109" s="10" t="s">
        <v>269</v>
      </c>
    </row>
    <row r="110" spans="1:7" x14ac:dyDescent="0.2">
      <c r="A110" s="16"/>
      <c r="B110" s="17" t="s">
        <v>108</v>
      </c>
      <c r="C110" s="18">
        <f>C109*8/7</f>
        <v>0</v>
      </c>
      <c r="D110" s="18">
        <f>D104/220*2*1.2</f>
        <v>0</v>
      </c>
      <c r="E110" s="18">
        <f>C110*D110</f>
        <v>0</v>
      </c>
      <c r="G110" s="10" t="s">
        <v>269</v>
      </c>
    </row>
    <row r="111" spans="1:7" x14ac:dyDescent="0.2">
      <c r="A111" s="16" t="s">
        <v>37</v>
      </c>
      <c r="B111" s="17" t="s">
        <v>0</v>
      </c>
      <c r="C111" s="88"/>
      <c r="D111" s="18">
        <f>D104/220*1.5</f>
        <v>0</v>
      </c>
      <c r="E111" s="18">
        <f>C111*D111</f>
        <v>0</v>
      </c>
      <c r="G111" s="10" t="s">
        <v>270</v>
      </c>
    </row>
    <row r="112" spans="1:7" x14ac:dyDescent="0.2">
      <c r="A112" s="16" t="s">
        <v>230</v>
      </c>
      <c r="B112" s="17" t="s">
        <v>103</v>
      </c>
      <c r="C112" s="88"/>
      <c r="D112" s="18"/>
      <c r="E112" s="18"/>
      <c r="G112" s="10" t="s">
        <v>271</v>
      </c>
    </row>
    <row r="113" spans="1:7" x14ac:dyDescent="0.2">
      <c r="A113" s="16"/>
      <c r="B113" s="17" t="s">
        <v>108</v>
      </c>
      <c r="C113" s="18">
        <f>C112*8/7</f>
        <v>0</v>
      </c>
      <c r="D113" s="18">
        <f>D104/220*1.5*1.2</f>
        <v>0</v>
      </c>
      <c r="E113" s="18">
        <f>C113*D113</f>
        <v>0</v>
      </c>
      <c r="G113" s="10" t="s">
        <v>271</v>
      </c>
    </row>
    <row r="114" spans="1:7" ht="13.15" customHeight="1" x14ac:dyDescent="0.2">
      <c r="A114" s="16" t="s">
        <v>232</v>
      </c>
      <c r="B114" s="17" t="s">
        <v>35</v>
      </c>
      <c r="D114" s="18">
        <f>63/302*(SUM(E108:E113))</f>
        <v>0</v>
      </c>
      <c r="E114" s="18">
        <f>D114</f>
        <v>0</v>
      </c>
      <c r="G114" s="10" t="s">
        <v>231</v>
      </c>
    </row>
    <row r="115" spans="1:7" x14ac:dyDescent="0.2">
      <c r="A115" s="16" t="s">
        <v>229</v>
      </c>
      <c r="B115" s="17"/>
      <c r="C115" s="90"/>
      <c r="D115" s="18"/>
      <c r="E115" s="18"/>
    </row>
    <row r="116" spans="1:7" x14ac:dyDescent="0.2">
      <c r="A116" s="16" t="s">
        <v>1</v>
      </c>
      <c r="B116" s="17" t="s">
        <v>2</v>
      </c>
      <c r="C116" s="83">
        <f>+C95</f>
        <v>0</v>
      </c>
      <c r="D116" s="83">
        <f>IF(C115=2,SUM(E104:E114),IF(C115=1,SUM(E104:E114)*D105/D104,0))</f>
        <v>0</v>
      </c>
      <c r="E116" s="18">
        <f>C116*D116/100</f>
        <v>0</v>
      </c>
    </row>
    <row r="117" spans="1:7" s="11" customFormat="1" x14ac:dyDescent="0.2">
      <c r="A117" s="117" t="s">
        <v>3</v>
      </c>
      <c r="B117" s="118"/>
      <c r="C117" s="118"/>
      <c r="D117" s="119"/>
      <c r="E117" s="120">
        <f>SUM(E104:E116)</f>
        <v>0</v>
      </c>
      <c r="F117" s="44"/>
      <c r="G117" s="44"/>
    </row>
    <row r="118" spans="1:7" x14ac:dyDescent="0.2">
      <c r="A118" s="16" t="s">
        <v>4</v>
      </c>
      <c r="B118" s="17" t="s">
        <v>2</v>
      </c>
      <c r="C118" s="141">
        <f>'2.Encargos Sociais'!$C$37*100</f>
        <v>70.595951999999997</v>
      </c>
      <c r="D118" s="18">
        <f>E117</f>
        <v>0</v>
      </c>
      <c r="E118" s="18">
        <f>D118*C118/100</f>
        <v>0</v>
      </c>
    </row>
    <row r="119" spans="1:7" s="11" customFormat="1" x14ac:dyDescent="0.2">
      <c r="A119" s="117" t="s">
        <v>272</v>
      </c>
      <c r="B119" s="118"/>
      <c r="C119" s="118"/>
      <c r="D119" s="119"/>
      <c r="E119" s="120">
        <f>E117+E118</f>
        <v>0</v>
      </c>
      <c r="F119" s="44"/>
      <c r="G119" s="44"/>
    </row>
    <row r="120" spans="1:7" ht="13.5" thickBot="1" x14ac:dyDescent="0.25">
      <c r="A120" s="16" t="s">
        <v>5</v>
      </c>
      <c r="B120" s="17" t="s">
        <v>6</v>
      </c>
      <c r="C120" s="86"/>
      <c r="D120" s="18">
        <f>E119</f>
        <v>0</v>
      </c>
      <c r="E120" s="18">
        <f>C120*D120</f>
        <v>0</v>
      </c>
    </row>
    <row r="121" spans="1:7" ht="13.5" thickBot="1" x14ac:dyDescent="0.25">
      <c r="D121" s="124" t="s">
        <v>205</v>
      </c>
      <c r="E121" s="50">
        <f>$B$51</f>
        <v>0</v>
      </c>
      <c r="F121" s="125">
        <f>E120*E121</f>
        <v>0</v>
      </c>
    </row>
    <row r="122" spans="1:7" ht="11.25" customHeight="1" x14ac:dyDescent="0.2">
      <c r="G122" s="9"/>
    </row>
    <row r="123" spans="1:7" ht="13.5" thickBot="1" x14ac:dyDescent="0.25">
      <c r="A123" s="9" t="s">
        <v>109</v>
      </c>
      <c r="B123" s="93"/>
      <c r="D123" s="9"/>
      <c r="E123" s="9"/>
      <c r="G123" s="9"/>
    </row>
    <row r="124" spans="1:7" ht="13.5" thickBot="1" x14ac:dyDescent="0.25">
      <c r="A124" s="60" t="s">
        <v>66</v>
      </c>
      <c r="B124" s="61" t="s">
        <v>67</v>
      </c>
      <c r="C124" s="61" t="s">
        <v>42</v>
      </c>
      <c r="D124" s="62" t="s">
        <v>252</v>
      </c>
      <c r="E124" s="62" t="s">
        <v>68</v>
      </c>
      <c r="F124" s="63" t="s">
        <v>69</v>
      </c>
      <c r="G124" s="9"/>
    </row>
    <row r="125" spans="1:7" x14ac:dyDescent="0.2">
      <c r="A125" s="16" t="s">
        <v>95</v>
      </c>
      <c r="B125" s="17" t="s">
        <v>35</v>
      </c>
      <c r="C125" s="94">
        <v>1</v>
      </c>
      <c r="D125" s="92"/>
      <c r="E125" s="18"/>
      <c r="G125" s="9"/>
    </row>
    <row r="126" spans="1:7" x14ac:dyDescent="0.2">
      <c r="A126" s="16" t="s">
        <v>96</v>
      </c>
      <c r="B126" s="17" t="s">
        <v>97</v>
      </c>
      <c r="C126" s="91"/>
      <c r="D126" s="18"/>
      <c r="E126" s="18"/>
      <c r="G126" s="9"/>
    </row>
    <row r="127" spans="1:7" x14ac:dyDescent="0.2">
      <c r="A127" s="16" t="s">
        <v>76</v>
      </c>
      <c r="B127" s="17" t="s">
        <v>9</v>
      </c>
      <c r="C127" s="37">
        <f>$C$126*2*(C65+C84)</f>
        <v>0</v>
      </c>
      <c r="D127" s="15" t="str">
        <f>IFERROR((($C$126*2*$D$125)-(E57*0.06*C126/26))/($C$126*2),"-")</f>
        <v>-</v>
      </c>
      <c r="E127" s="18" t="str">
        <f>IFERROR(C127*D127,"-")</f>
        <v>-</v>
      </c>
      <c r="G127" s="9"/>
    </row>
    <row r="128" spans="1:7" ht="13.5" thickBot="1" x14ac:dyDescent="0.25">
      <c r="A128" s="13" t="s">
        <v>46</v>
      </c>
      <c r="B128" s="14" t="s">
        <v>9</v>
      </c>
      <c r="C128" s="37">
        <f>$C$126*2*(C99+C120)</f>
        <v>0</v>
      </c>
      <c r="D128" s="15" t="str">
        <f>IFERROR((($C$126*2*$D$125)-(E89*0.06*C126/26))/($C$126*2),"-")</f>
        <v>-</v>
      </c>
      <c r="E128" s="15" t="str">
        <f>IFERROR(C128*D128,"-")</f>
        <v>-</v>
      </c>
      <c r="G128" s="9"/>
    </row>
    <row r="129" spans="1:7" ht="13.5" thickBot="1" x14ac:dyDescent="0.25">
      <c r="F129" s="22">
        <f>SUM(E127:E128)</f>
        <v>0</v>
      </c>
      <c r="G129" s="9"/>
    </row>
    <row r="130" spans="1:7" ht="11.25" customHeight="1" x14ac:dyDescent="0.2">
      <c r="G130" s="9"/>
    </row>
    <row r="131" spans="1:7" ht="13.5" thickBot="1" x14ac:dyDescent="0.25">
      <c r="A131" s="9" t="s">
        <v>132</v>
      </c>
      <c r="F131" s="23"/>
      <c r="G131" s="9"/>
    </row>
    <row r="132" spans="1:7" ht="13.5" thickBot="1" x14ac:dyDescent="0.25">
      <c r="A132" s="60" t="s">
        <v>66</v>
      </c>
      <c r="B132" s="61" t="s">
        <v>67</v>
      </c>
      <c r="C132" s="61" t="s">
        <v>42</v>
      </c>
      <c r="D132" s="62" t="s">
        <v>252</v>
      </c>
      <c r="E132" s="62" t="s">
        <v>68</v>
      </c>
      <c r="F132" s="63" t="s">
        <v>69</v>
      </c>
      <c r="G132" s="9"/>
    </row>
    <row r="133" spans="1:7" x14ac:dyDescent="0.2">
      <c r="A133" s="16" t="str">
        <f>+A127</f>
        <v>Coletor</v>
      </c>
      <c r="B133" s="17" t="s">
        <v>10</v>
      </c>
      <c r="C133" s="102">
        <f>C126*(E41+E42)</f>
        <v>0</v>
      </c>
      <c r="D133" s="95"/>
      <c r="E133" s="50">
        <f>C133*D133</f>
        <v>0</v>
      </c>
      <c r="F133" s="23"/>
      <c r="G133" s="9"/>
    </row>
    <row r="134" spans="1:7" ht="13.5" thickBot="1" x14ac:dyDescent="0.25">
      <c r="A134" s="16" t="str">
        <f>+A128</f>
        <v>Motorista</v>
      </c>
      <c r="B134" s="17" t="s">
        <v>10</v>
      </c>
      <c r="C134" s="102">
        <f>C126*(E43+E44)</f>
        <v>0</v>
      </c>
      <c r="D134" s="95"/>
      <c r="E134" s="50">
        <f>C134*D134</f>
        <v>0</v>
      </c>
      <c r="F134" s="23"/>
      <c r="G134" s="9"/>
    </row>
    <row r="135" spans="1:7" ht="13.5" thickBot="1" x14ac:dyDescent="0.25">
      <c r="F135" s="22">
        <f>SUM(E133:E134)</f>
        <v>0</v>
      </c>
      <c r="G135" s="9"/>
    </row>
    <row r="136" spans="1:7" x14ac:dyDescent="0.2">
      <c r="G136" s="9"/>
    </row>
    <row r="137" spans="1:7" ht="13.5" thickBot="1" x14ac:dyDescent="0.25">
      <c r="A137" s="9" t="s">
        <v>133</v>
      </c>
      <c r="F137" s="23"/>
      <c r="G137" s="9"/>
    </row>
    <row r="138" spans="1:7" ht="13.5" thickBot="1" x14ac:dyDescent="0.25">
      <c r="A138" s="60" t="s">
        <v>66</v>
      </c>
      <c r="B138" s="61" t="s">
        <v>67</v>
      </c>
      <c r="C138" s="61" t="s">
        <v>42</v>
      </c>
      <c r="D138" s="62" t="s">
        <v>252</v>
      </c>
      <c r="E138" s="62" t="s">
        <v>68</v>
      </c>
      <c r="F138" s="63" t="s">
        <v>69</v>
      </c>
      <c r="G138" s="9"/>
    </row>
    <row r="139" spans="1:7" x14ac:dyDescent="0.2">
      <c r="A139" s="16" t="str">
        <f>+A133</f>
        <v>Coletor</v>
      </c>
      <c r="B139" s="17" t="s">
        <v>10</v>
      </c>
      <c r="C139" s="102">
        <f>E41+E42</f>
        <v>3</v>
      </c>
      <c r="D139" s="95"/>
      <c r="E139" s="50">
        <f>C139*D139</f>
        <v>0</v>
      </c>
      <c r="F139" s="23"/>
      <c r="G139" s="9"/>
    </row>
    <row r="140" spans="1:7" ht="13.5" thickBot="1" x14ac:dyDescent="0.25">
      <c r="A140" s="16" t="str">
        <f>+A134</f>
        <v>Motorista</v>
      </c>
      <c r="B140" s="17" t="s">
        <v>10</v>
      </c>
      <c r="C140" s="102">
        <f>E43+E44</f>
        <v>1</v>
      </c>
      <c r="D140" s="95"/>
      <c r="E140" s="50">
        <f>C140*D140</f>
        <v>0</v>
      </c>
      <c r="F140" s="23"/>
      <c r="G140" s="9"/>
    </row>
    <row r="141" spans="1:7" ht="13.5" thickBot="1" x14ac:dyDescent="0.25">
      <c r="D141" s="124" t="s">
        <v>205</v>
      </c>
      <c r="E141" s="50">
        <f>$B$51</f>
        <v>0</v>
      </c>
      <c r="F141" s="22">
        <f>SUM(E139:E140)*E141</f>
        <v>0</v>
      </c>
      <c r="G141" s="9"/>
    </row>
    <row r="142" spans="1:7" ht="13.5" thickBot="1" x14ac:dyDescent="0.25">
      <c r="G142" s="9"/>
    </row>
    <row r="143" spans="1:7" ht="13.5" thickBot="1" x14ac:dyDescent="0.25">
      <c r="A143" s="24" t="s">
        <v>98</v>
      </c>
      <c r="B143" s="25"/>
      <c r="C143" s="25"/>
      <c r="D143" s="26"/>
      <c r="E143" s="27"/>
      <c r="F143" s="22">
        <f>F141+F135+F129+F121+F100+F85+F66</f>
        <v>0</v>
      </c>
      <c r="G143" s="9"/>
    </row>
    <row r="145" spans="1:7" x14ac:dyDescent="0.2">
      <c r="A145" s="11" t="s">
        <v>47</v>
      </c>
      <c r="G145" s="9"/>
    </row>
    <row r="146" spans="1:7" ht="11.25" customHeight="1" x14ac:dyDescent="0.2">
      <c r="G146" s="9"/>
    </row>
    <row r="147" spans="1:7" ht="13.9" customHeight="1" x14ac:dyDescent="0.2">
      <c r="A147" s="9" t="s">
        <v>207</v>
      </c>
      <c r="G147" s="9"/>
    </row>
    <row r="148" spans="1:7" ht="11.25" customHeight="1" thickBot="1" x14ac:dyDescent="0.25">
      <c r="G148" s="9"/>
    </row>
    <row r="149" spans="1:7" ht="27.75" customHeight="1" thickBot="1" x14ac:dyDescent="0.25">
      <c r="A149" s="60" t="s">
        <v>66</v>
      </c>
      <c r="B149" s="61" t="s">
        <v>67</v>
      </c>
      <c r="C149" s="271" t="s">
        <v>274</v>
      </c>
      <c r="D149" s="62" t="s">
        <v>252</v>
      </c>
      <c r="E149" s="62" t="s">
        <v>68</v>
      </c>
      <c r="F149" s="63" t="s">
        <v>69</v>
      </c>
      <c r="G149" s="9"/>
    </row>
    <row r="150" spans="1:7" x14ac:dyDescent="0.2">
      <c r="A150" s="13" t="s">
        <v>70</v>
      </c>
      <c r="B150" s="14" t="s">
        <v>10</v>
      </c>
      <c r="C150" s="101"/>
      <c r="D150" s="87"/>
      <c r="E150" s="15">
        <f>IFERROR(D150/C150,0)</f>
        <v>0</v>
      </c>
      <c r="G150" s="9"/>
    </row>
    <row r="151" spans="1:7" ht="13.15" customHeight="1" x14ac:dyDescent="0.2">
      <c r="A151" s="16" t="s">
        <v>30</v>
      </c>
      <c r="B151" s="17" t="s">
        <v>10</v>
      </c>
      <c r="C151" s="101"/>
      <c r="D151" s="87"/>
      <c r="E151" s="15">
        <f t="shared" ref="E151:E159" si="1">IFERROR(D151/C151,0)</f>
        <v>0</v>
      </c>
      <c r="G151" s="9"/>
    </row>
    <row r="152" spans="1:7" x14ac:dyDescent="0.2">
      <c r="A152" s="16" t="s">
        <v>31</v>
      </c>
      <c r="B152" s="17" t="s">
        <v>10</v>
      </c>
      <c r="C152" s="101"/>
      <c r="D152" s="87"/>
      <c r="E152" s="15">
        <f t="shared" si="1"/>
        <v>0</v>
      </c>
      <c r="G152" s="9"/>
    </row>
    <row r="153" spans="1:7" ht="13.15" customHeight="1" x14ac:dyDescent="0.2">
      <c r="A153" s="16" t="s">
        <v>32</v>
      </c>
      <c r="B153" s="17" t="s">
        <v>10</v>
      </c>
      <c r="C153" s="101"/>
      <c r="D153" s="87"/>
      <c r="E153" s="15">
        <f t="shared" si="1"/>
        <v>0</v>
      </c>
      <c r="G153" s="9"/>
    </row>
    <row r="154" spans="1:7" ht="13.9" customHeight="1" x14ac:dyDescent="0.2">
      <c r="A154" s="16" t="s">
        <v>72</v>
      </c>
      <c r="B154" s="17" t="s">
        <v>50</v>
      </c>
      <c r="C154" s="101"/>
      <c r="D154" s="87"/>
      <c r="E154" s="15">
        <f t="shared" si="1"/>
        <v>0</v>
      </c>
      <c r="G154" s="9"/>
    </row>
    <row r="155" spans="1:7" ht="13.15" customHeight="1" x14ac:dyDescent="0.2">
      <c r="A155" s="16" t="s">
        <v>99</v>
      </c>
      <c r="B155" s="17" t="s">
        <v>50</v>
      </c>
      <c r="C155" s="101"/>
      <c r="D155" s="87"/>
      <c r="E155" s="15">
        <f t="shared" si="1"/>
        <v>0</v>
      </c>
    </row>
    <row r="156" spans="1:7" x14ac:dyDescent="0.2">
      <c r="A156" s="16" t="s">
        <v>71</v>
      </c>
      <c r="B156" s="17" t="s">
        <v>10</v>
      </c>
      <c r="C156" s="101"/>
      <c r="D156" s="87"/>
      <c r="E156" s="15">
        <f t="shared" si="1"/>
        <v>0</v>
      </c>
    </row>
    <row r="157" spans="1:7" s="1" customFormat="1" x14ac:dyDescent="0.2">
      <c r="A157" s="2" t="s">
        <v>11</v>
      </c>
      <c r="B157" s="3" t="s">
        <v>10</v>
      </c>
      <c r="C157" s="101"/>
      <c r="D157" s="87"/>
      <c r="E157" s="15">
        <f t="shared" si="1"/>
        <v>0</v>
      </c>
      <c r="F157" s="38"/>
      <c r="G157" s="38"/>
    </row>
    <row r="158" spans="1:7" x14ac:dyDescent="0.2">
      <c r="A158" s="16" t="s">
        <v>33</v>
      </c>
      <c r="B158" s="17" t="s">
        <v>50</v>
      </c>
      <c r="C158" s="101"/>
      <c r="D158" s="87"/>
      <c r="E158" s="15">
        <f t="shared" si="1"/>
        <v>0</v>
      </c>
    </row>
    <row r="159" spans="1:7" ht="13.15" customHeight="1" x14ac:dyDescent="0.2">
      <c r="A159" s="16" t="s">
        <v>65</v>
      </c>
      <c r="B159" s="17" t="s">
        <v>51</v>
      </c>
      <c r="C159" s="101"/>
      <c r="D159" s="87"/>
      <c r="E159" s="15">
        <f t="shared" si="1"/>
        <v>0</v>
      </c>
    </row>
    <row r="160" spans="1:7" x14ac:dyDescent="0.2">
      <c r="A160" s="16" t="s">
        <v>208</v>
      </c>
      <c r="B160" s="17" t="s">
        <v>134</v>
      </c>
      <c r="C160" s="122">
        <v>1</v>
      </c>
      <c r="D160" s="87"/>
      <c r="E160" s="18">
        <f t="shared" ref="E160:E161" si="2">C160*D160</f>
        <v>0</v>
      </c>
    </row>
    <row r="161" spans="1:7" ht="13.5" thickBot="1" x14ac:dyDescent="0.25">
      <c r="A161" s="16" t="s">
        <v>5</v>
      </c>
      <c r="B161" s="17" t="s">
        <v>6</v>
      </c>
      <c r="C161" s="69">
        <f>E41+E42</f>
        <v>3</v>
      </c>
      <c r="D161" s="18">
        <f>+SUM(E150:E160)</f>
        <v>0</v>
      </c>
      <c r="E161" s="18">
        <f t="shared" si="2"/>
        <v>0</v>
      </c>
    </row>
    <row r="162" spans="1:7" ht="13.5" thickBot="1" x14ac:dyDescent="0.25">
      <c r="D162" s="124" t="s">
        <v>205</v>
      </c>
      <c r="E162" s="50">
        <f>$B$51</f>
        <v>0</v>
      </c>
      <c r="F162" s="125">
        <f>E161*E162</f>
        <v>0</v>
      </c>
    </row>
    <row r="163" spans="1:7" ht="11.25" customHeight="1" x14ac:dyDescent="0.2"/>
    <row r="164" spans="1:7" ht="13.9" customHeight="1" x14ac:dyDescent="0.2">
      <c r="A164" s="9" t="s">
        <v>209</v>
      </c>
    </row>
    <row r="165" spans="1:7" ht="11.25" customHeight="1" thickBot="1" x14ac:dyDescent="0.25"/>
    <row r="166" spans="1:7" ht="24.75" thickBot="1" x14ac:dyDescent="0.25">
      <c r="A166" s="60" t="s">
        <v>66</v>
      </c>
      <c r="B166" s="61" t="s">
        <v>67</v>
      </c>
      <c r="C166" s="271" t="s">
        <v>274</v>
      </c>
      <c r="D166" s="62" t="s">
        <v>252</v>
      </c>
      <c r="E166" s="62" t="s">
        <v>68</v>
      </c>
      <c r="F166" s="63" t="s">
        <v>69</v>
      </c>
    </row>
    <row r="167" spans="1:7" x14ac:dyDescent="0.2">
      <c r="A167" s="13" t="s">
        <v>70</v>
      </c>
      <c r="B167" s="14" t="s">
        <v>10</v>
      </c>
      <c r="C167" s="101"/>
      <c r="D167" s="15">
        <f>+D150</f>
        <v>0</v>
      </c>
      <c r="E167" s="15">
        <f>IFERROR(D167/C167,0)</f>
        <v>0</v>
      </c>
    </row>
    <row r="168" spans="1:7" x14ac:dyDescent="0.2">
      <c r="A168" s="16" t="s">
        <v>30</v>
      </c>
      <c r="B168" s="17" t="s">
        <v>10</v>
      </c>
      <c r="C168" s="101"/>
      <c r="D168" s="18">
        <f>+D151</f>
        <v>0</v>
      </c>
      <c r="E168" s="15">
        <f t="shared" ref="E168:E172" si="3">IFERROR(D168/C168,0)</f>
        <v>0</v>
      </c>
    </row>
    <row r="169" spans="1:7" x14ac:dyDescent="0.2">
      <c r="A169" s="16" t="s">
        <v>31</v>
      </c>
      <c r="B169" s="17" t="s">
        <v>10</v>
      </c>
      <c r="C169" s="101"/>
      <c r="D169" s="18">
        <f>+D152</f>
        <v>0</v>
      </c>
      <c r="E169" s="15">
        <f t="shared" si="3"/>
        <v>0</v>
      </c>
    </row>
    <row r="170" spans="1:7" x14ac:dyDescent="0.2">
      <c r="A170" s="16" t="s">
        <v>72</v>
      </c>
      <c r="B170" s="17" t="s">
        <v>50</v>
      </c>
      <c r="C170" s="101"/>
      <c r="D170" s="18">
        <f>+D154</f>
        <v>0</v>
      </c>
      <c r="E170" s="15">
        <f t="shared" si="3"/>
        <v>0</v>
      </c>
    </row>
    <row r="171" spans="1:7" x14ac:dyDescent="0.2">
      <c r="A171" s="16" t="s">
        <v>71</v>
      </c>
      <c r="B171" s="17" t="s">
        <v>10</v>
      </c>
      <c r="C171" s="101"/>
      <c r="D171" s="18">
        <f>+D156</f>
        <v>0</v>
      </c>
      <c r="E171" s="15">
        <f t="shared" si="3"/>
        <v>0</v>
      </c>
      <c r="G171" s="9"/>
    </row>
    <row r="172" spans="1:7" x14ac:dyDescent="0.2">
      <c r="A172" s="16" t="s">
        <v>65</v>
      </c>
      <c r="B172" s="17" t="s">
        <v>51</v>
      </c>
      <c r="C172" s="101"/>
      <c r="D172" s="18">
        <f>+D159</f>
        <v>0</v>
      </c>
      <c r="E172" s="15">
        <f t="shared" si="3"/>
        <v>0</v>
      </c>
      <c r="G172" s="9"/>
    </row>
    <row r="173" spans="1:7" x14ac:dyDescent="0.2">
      <c r="A173" s="16" t="s">
        <v>208</v>
      </c>
      <c r="B173" s="17" t="s">
        <v>134</v>
      </c>
      <c r="C173" s="122">
        <v>1</v>
      </c>
      <c r="D173" s="87"/>
      <c r="E173" s="18">
        <f t="shared" ref="E173:E174" si="4">C173*D173</f>
        <v>0</v>
      </c>
      <c r="G173" s="9"/>
    </row>
    <row r="174" spans="1:7" ht="13.5" thickBot="1" x14ac:dyDescent="0.25">
      <c r="A174" s="16" t="s">
        <v>5</v>
      </c>
      <c r="B174" s="17" t="s">
        <v>6</v>
      </c>
      <c r="C174" s="69">
        <f>E43+E44</f>
        <v>1</v>
      </c>
      <c r="D174" s="18">
        <f>+SUM(E167:E173)</f>
        <v>0</v>
      </c>
      <c r="E174" s="18">
        <f t="shared" si="4"/>
        <v>0</v>
      </c>
      <c r="G174" s="9"/>
    </row>
    <row r="175" spans="1:7" ht="13.5" thickBot="1" x14ac:dyDescent="0.25">
      <c r="D175" s="124" t="s">
        <v>205</v>
      </c>
      <c r="E175" s="50">
        <f>$B$51</f>
        <v>0</v>
      </c>
      <c r="F175" s="125">
        <f>E174*E175</f>
        <v>0</v>
      </c>
      <c r="G175" s="9"/>
    </row>
    <row r="176" spans="1:7" ht="11.25" customHeight="1" thickBot="1" x14ac:dyDescent="0.25">
      <c r="G176" s="9"/>
    </row>
    <row r="177" spans="1:10" ht="13.5" thickBot="1" x14ac:dyDescent="0.25">
      <c r="A177" s="24" t="s">
        <v>210</v>
      </c>
      <c r="B177" s="28"/>
      <c r="C177" s="28"/>
      <c r="D177" s="29"/>
      <c r="E177" s="30"/>
      <c r="F177" s="21">
        <f>+F162+F175</f>
        <v>0</v>
      </c>
      <c r="G177" s="9"/>
    </row>
    <row r="178" spans="1:10" ht="11.25" customHeight="1" x14ac:dyDescent="0.2">
      <c r="G178" s="9"/>
    </row>
    <row r="179" spans="1:10" x14ac:dyDescent="0.2">
      <c r="A179" s="11" t="s">
        <v>56</v>
      </c>
      <c r="G179" s="9"/>
    </row>
    <row r="180" spans="1:10" ht="11.25" customHeight="1" x14ac:dyDescent="0.2">
      <c r="B180" s="107"/>
      <c r="G180" s="9"/>
    </row>
    <row r="181" spans="1:10" x14ac:dyDescent="0.2">
      <c r="A181" s="7" t="s">
        <v>321</v>
      </c>
      <c r="G181" s="9"/>
    </row>
    <row r="182" spans="1:10" ht="11.25" customHeight="1" x14ac:dyDescent="0.2">
      <c r="G182" s="9"/>
    </row>
    <row r="183" spans="1:10" ht="13.5" thickBot="1" x14ac:dyDescent="0.25">
      <c r="A183" s="107" t="s">
        <v>48</v>
      </c>
      <c r="G183" s="9"/>
    </row>
    <row r="184" spans="1:10" ht="13.5" thickBot="1" x14ac:dyDescent="0.25">
      <c r="A184" s="60" t="s">
        <v>66</v>
      </c>
      <c r="B184" s="61" t="s">
        <v>67</v>
      </c>
      <c r="C184" s="61" t="s">
        <v>42</v>
      </c>
      <c r="D184" s="62" t="s">
        <v>252</v>
      </c>
      <c r="E184" s="62" t="s">
        <v>68</v>
      </c>
      <c r="F184" s="63" t="s">
        <v>69</v>
      </c>
      <c r="G184" s="9"/>
    </row>
    <row r="185" spans="1:10" x14ac:dyDescent="0.2">
      <c r="A185" s="13" t="s">
        <v>116</v>
      </c>
      <c r="B185" s="14" t="s">
        <v>10</v>
      </c>
      <c r="C185" s="277">
        <v>1</v>
      </c>
      <c r="D185" s="87"/>
      <c r="E185" s="15">
        <f>C185*D185</f>
        <v>0</v>
      </c>
      <c r="G185" s="9"/>
    </row>
    <row r="186" spans="1:10" x14ac:dyDescent="0.2">
      <c r="A186" s="16" t="s">
        <v>110</v>
      </c>
      <c r="B186" s="17" t="s">
        <v>111</v>
      </c>
      <c r="C186" s="86"/>
      <c r="D186" s="83"/>
      <c r="E186" s="18"/>
      <c r="G186" s="9"/>
    </row>
    <row r="187" spans="1:10" x14ac:dyDescent="0.2">
      <c r="A187" s="16" t="s">
        <v>223</v>
      </c>
      <c r="B187" s="17" t="s">
        <v>111</v>
      </c>
      <c r="C187" s="86">
        <v>0</v>
      </c>
      <c r="D187" s="18"/>
      <c r="E187" s="18"/>
      <c r="F187" s="20"/>
      <c r="I187" s="85"/>
      <c r="J187" s="85"/>
    </row>
    <row r="188" spans="1:10" x14ac:dyDescent="0.2">
      <c r="A188" s="16" t="s">
        <v>114</v>
      </c>
      <c r="B188" s="17" t="s">
        <v>2</v>
      </c>
      <c r="C188" s="141">
        <f>IFERROR(VLOOKUP(C186,'5. Depreciação'!A3:B17,2,FALSE),0)</f>
        <v>0</v>
      </c>
      <c r="D188" s="18">
        <f>E185</f>
        <v>0</v>
      </c>
      <c r="E188" s="18">
        <f>C188*D188/100</f>
        <v>0</v>
      </c>
    </row>
    <row r="189" spans="1:10" ht="13.5" thickBot="1" x14ac:dyDescent="0.25">
      <c r="A189" s="280" t="s">
        <v>52</v>
      </c>
      <c r="B189" s="281" t="s">
        <v>8</v>
      </c>
      <c r="C189" s="281">
        <f>C186*12</f>
        <v>0</v>
      </c>
      <c r="D189" s="282">
        <f>IF(C187&lt;=C186,E188,0)</f>
        <v>0</v>
      </c>
      <c r="E189" s="282">
        <f>IFERROR(D189/C189,0)</f>
        <v>0</v>
      </c>
    </row>
    <row r="190" spans="1:10" ht="13.5" thickTop="1" x14ac:dyDescent="0.2">
      <c r="A190" s="13" t="s">
        <v>115</v>
      </c>
      <c r="B190" s="14" t="s">
        <v>10</v>
      </c>
      <c r="C190" s="14">
        <f>C185</f>
        <v>1</v>
      </c>
      <c r="D190" s="87"/>
      <c r="E190" s="15">
        <f>C190*D190</f>
        <v>0</v>
      </c>
      <c r="G190" s="9"/>
    </row>
    <row r="191" spans="1:10" x14ac:dyDescent="0.2">
      <c r="A191" s="16" t="s">
        <v>112</v>
      </c>
      <c r="B191" s="17" t="s">
        <v>111</v>
      </c>
      <c r="C191" s="86"/>
      <c r="D191" s="18"/>
      <c r="E191" s="18"/>
    </row>
    <row r="192" spans="1:10" x14ac:dyDescent="0.2">
      <c r="A192" s="16" t="s">
        <v>224</v>
      </c>
      <c r="B192" s="17" t="s">
        <v>111</v>
      </c>
      <c r="C192" s="86">
        <v>0</v>
      </c>
      <c r="D192" s="18"/>
      <c r="E192" s="18"/>
      <c r="F192" s="20"/>
      <c r="I192" s="85"/>
      <c r="J192" s="85"/>
    </row>
    <row r="193" spans="1:10" x14ac:dyDescent="0.2">
      <c r="A193" s="16" t="s">
        <v>113</v>
      </c>
      <c r="B193" s="17" t="s">
        <v>2</v>
      </c>
      <c r="C193" s="142">
        <f>IFERROR(VLOOKUP(C191,'5. Depreciação'!A3:B17,2,FALSE),0)</f>
        <v>0</v>
      </c>
      <c r="D193" s="18">
        <f>E190</f>
        <v>0</v>
      </c>
      <c r="E193" s="18">
        <f>C193*D193/100</f>
        <v>0</v>
      </c>
    </row>
    <row r="194" spans="1:10" x14ac:dyDescent="0.2">
      <c r="A194" s="103" t="s">
        <v>117</v>
      </c>
      <c r="B194" s="104" t="s">
        <v>8</v>
      </c>
      <c r="C194" s="104">
        <f>C191*12</f>
        <v>0</v>
      </c>
      <c r="D194" s="105">
        <f>IF(C192&lt;=C191,E193,0)</f>
        <v>0</v>
      </c>
      <c r="E194" s="105">
        <f>IFERROR(D194/C194,0)</f>
        <v>0</v>
      </c>
    </row>
    <row r="195" spans="1:10" x14ac:dyDescent="0.2">
      <c r="A195" s="117" t="s">
        <v>277</v>
      </c>
      <c r="B195" s="118"/>
      <c r="C195" s="118"/>
      <c r="D195" s="119"/>
      <c r="E195" s="120">
        <f>E189+E194</f>
        <v>0</v>
      </c>
    </row>
    <row r="196" spans="1:10" ht="13.5" thickBot="1" x14ac:dyDescent="0.25">
      <c r="A196" s="103" t="s">
        <v>278</v>
      </c>
      <c r="B196" s="104" t="s">
        <v>10</v>
      </c>
      <c r="C196" s="86"/>
      <c r="D196" s="105">
        <f>E195</f>
        <v>0</v>
      </c>
      <c r="E196" s="120">
        <f>C196*D196</f>
        <v>0</v>
      </c>
    </row>
    <row r="197" spans="1:10" ht="13.5" thickBot="1" x14ac:dyDescent="0.25">
      <c r="A197" s="276"/>
      <c r="B197" s="276"/>
      <c r="C197" s="276"/>
      <c r="D197" s="124" t="s">
        <v>205</v>
      </c>
      <c r="E197" s="50">
        <f>$B$51</f>
        <v>0</v>
      </c>
      <c r="F197" s="21">
        <f>E196*E197</f>
        <v>0</v>
      </c>
    </row>
    <row r="198" spans="1:10" ht="11.25" customHeight="1" x14ac:dyDescent="0.2"/>
    <row r="199" spans="1:10" ht="13.5" thickBot="1" x14ac:dyDescent="0.25">
      <c r="A199" s="107" t="s">
        <v>122</v>
      </c>
    </row>
    <row r="200" spans="1:10" ht="13.5" thickBot="1" x14ac:dyDescent="0.25">
      <c r="A200" s="109" t="s">
        <v>66</v>
      </c>
      <c r="B200" s="110" t="s">
        <v>67</v>
      </c>
      <c r="C200" s="110" t="s">
        <v>42</v>
      </c>
      <c r="D200" s="62" t="s">
        <v>252</v>
      </c>
      <c r="E200" s="111" t="s">
        <v>68</v>
      </c>
      <c r="F200" s="63" t="s">
        <v>69</v>
      </c>
      <c r="I200" s="85"/>
      <c r="J200" s="85"/>
    </row>
    <row r="201" spans="1:10" x14ac:dyDescent="0.2">
      <c r="A201" s="16" t="s">
        <v>120</v>
      </c>
      <c r="B201" s="17" t="s">
        <v>10</v>
      </c>
      <c r="C201" s="277">
        <v>1</v>
      </c>
      <c r="D201" s="18">
        <f>D185</f>
        <v>0</v>
      </c>
      <c r="E201" s="18">
        <f>C201*D201</f>
        <v>0</v>
      </c>
      <c r="F201" s="20"/>
      <c r="I201" s="85"/>
      <c r="J201" s="85"/>
    </row>
    <row r="202" spans="1:10" x14ac:dyDescent="0.2">
      <c r="A202" s="16" t="s">
        <v>227</v>
      </c>
      <c r="B202" s="17" t="s">
        <v>2</v>
      </c>
      <c r="C202" s="86"/>
      <c r="D202" s="18"/>
      <c r="E202" s="18"/>
      <c r="F202" s="20"/>
      <c r="I202" s="85"/>
      <c r="J202" s="85"/>
    </row>
    <row r="203" spans="1:10" x14ac:dyDescent="0.2">
      <c r="A203" s="16" t="s">
        <v>225</v>
      </c>
      <c r="B203" s="17" t="s">
        <v>35</v>
      </c>
      <c r="C203" s="149">
        <f>IFERROR(IF(C187&lt;=C186,E185-(C188/(100*C186)*C187)*E185,E185-E188),0)</f>
        <v>0</v>
      </c>
      <c r="D203" s="18"/>
      <c r="E203" s="18"/>
      <c r="F203" s="20"/>
      <c r="I203" s="85"/>
      <c r="J203" s="85"/>
    </row>
    <row r="204" spans="1:10" x14ac:dyDescent="0.2">
      <c r="A204" s="16" t="s">
        <v>125</v>
      </c>
      <c r="B204" s="17" t="s">
        <v>35</v>
      </c>
      <c r="C204" s="83">
        <f>IFERROR(IF(C187&gt;=C186,C203,((((C203)-(E185-E188))*(((C186-C187)+1)/(2*(C186-C187))))+(E185-E188))),0)</f>
        <v>0</v>
      </c>
      <c r="D204" s="18"/>
      <c r="E204" s="18"/>
      <c r="F204" s="20"/>
      <c r="I204" s="85"/>
      <c r="J204" s="85"/>
    </row>
    <row r="205" spans="1:10" ht="13.5" thickBot="1" x14ac:dyDescent="0.25">
      <c r="A205" s="280" t="s">
        <v>126</v>
      </c>
      <c r="B205" s="281" t="s">
        <v>35</v>
      </c>
      <c r="C205" s="281"/>
      <c r="D205" s="283">
        <f>C202*C204/12/100</f>
        <v>0</v>
      </c>
      <c r="E205" s="282">
        <f>D205</f>
        <v>0</v>
      </c>
      <c r="F205" s="20"/>
      <c r="I205" s="85"/>
      <c r="J205" s="85"/>
    </row>
    <row r="206" spans="1:10" ht="13.5" thickTop="1" x14ac:dyDescent="0.2">
      <c r="A206" s="13" t="s">
        <v>121</v>
      </c>
      <c r="B206" s="14" t="s">
        <v>10</v>
      </c>
      <c r="C206" s="14">
        <f>C190</f>
        <v>1</v>
      </c>
      <c r="D206" s="15">
        <f>D190</f>
        <v>0</v>
      </c>
      <c r="E206" s="15">
        <f>C206*D206</f>
        <v>0</v>
      </c>
      <c r="F206" s="20"/>
      <c r="I206" s="85"/>
      <c r="J206" s="85"/>
    </row>
    <row r="207" spans="1:10" x14ac:dyDescent="0.2">
      <c r="A207" s="16" t="s">
        <v>227</v>
      </c>
      <c r="B207" s="17" t="s">
        <v>2</v>
      </c>
      <c r="C207" s="278">
        <f>C202</f>
        <v>0</v>
      </c>
      <c r="D207" s="18"/>
      <c r="E207" s="18"/>
      <c r="F207" s="20"/>
      <c r="I207" s="85"/>
      <c r="J207" s="85"/>
    </row>
    <row r="208" spans="1:10" x14ac:dyDescent="0.2">
      <c r="A208" s="16" t="s">
        <v>226</v>
      </c>
      <c r="B208" s="17" t="s">
        <v>35</v>
      </c>
      <c r="C208" s="149">
        <f>IFERROR(IF(C192&lt;=C191,E190-(C193/(100*C191)*C192)*E190,E190-E193),0)</f>
        <v>0</v>
      </c>
      <c r="D208" s="18"/>
      <c r="E208" s="18"/>
      <c r="F208" s="20"/>
      <c r="I208" s="85"/>
      <c r="J208" s="85"/>
    </row>
    <row r="209" spans="1:10" x14ac:dyDescent="0.2">
      <c r="A209" s="16" t="s">
        <v>127</v>
      </c>
      <c r="B209" s="17" t="s">
        <v>35</v>
      </c>
      <c r="C209" s="83">
        <f>IFERROR(IF(C192&gt;=C191,C208,((((C208)-(E190-E193))*(((C191-C192)+1)/(2*(C191-C192))))+(E190-E193))),0)</f>
        <v>0</v>
      </c>
      <c r="D209" s="18"/>
      <c r="E209" s="18"/>
      <c r="F209" s="20"/>
      <c r="I209" s="85"/>
      <c r="J209" s="85"/>
    </row>
    <row r="210" spans="1:10" x14ac:dyDescent="0.2">
      <c r="A210" s="103" t="s">
        <v>124</v>
      </c>
      <c r="B210" s="104" t="s">
        <v>35</v>
      </c>
      <c r="C210" s="104"/>
      <c r="D210" s="113">
        <f>C207*C209/12/100</f>
        <v>0</v>
      </c>
      <c r="E210" s="105">
        <f>D210</f>
        <v>0</v>
      </c>
      <c r="F210" s="20"/>
      <c r="I210" s="85"/>
      <c r="J210" s="85"/>
    </row>
    <row r="211" spans="1:10" x14ac:dyDescent="0.2">
      <c r="A211" s="117" t="s">
        <v>277</v>
      </c>
      <c r="B211" s="118"/>
      <c r="C211" s="118"/>
      <c r="D211" s="119"/>
      <c r="E211" s="120">
        <f>E205+E210</f>
        <v>0</v>
      </c>
      <c r="F211" s="20"/>
      <c r="I211" s="85"/>
      <c r="J211" s="85"/>
    </row>
    <row r="212" spans="1:10" ht="13.5" thickBot="1" x14ac:dyDescent="0.25">
      <c r="A212" s="103" t="s">
        <v>278</v>
      </c>
      <c r="B212" s="104" t="s">
        <v>10</v>
      </c>
      <c r="C212" s="278">
        <f>C196</f>
        <v>0</v>
      </c>
      <c r="D212" s="105">
        <f>E211</f>
        <v>0</v>
      </c>
      <c r="E212" s="120">
        <f>C212*D212</f>
        <v>0</v>
      </c>
      <c r="F212" s="20"/>
      <c r="I212" s="85"/>
      <c r="J212" s="85"/>
    </row>
    <row r="213" spans="1:10" ht="13.5" thickBot="1" x14ac:dyDescent="0.25">
      <c r="C213" s="19"/>
      <c r="D213" s="124" t="s">
        <v>205</v>
      </c>
      <c r="E213" s="50">
        <f>$B$51</f>
        <v>0</v>
      </c>
      <c r="F213" s="21">
        <f>E212*E213</f>
        <v>0</v>
      </c>
      <c r="I213" s="85"/>
      <c r="J213" s="85"/>
    </row>
    <row r="214" spans="1:10" ht="11.25" customHeight="1" x14ac:dyDescent="0.2">
      <c r="I214" s="85"/>
      <c r="J214" s="85"/>
    </row>
    <row r="215" spans="1:10" ht="13.5" thickBot="1" x14ac:dyDescent="0.25">
      <c r="A215" s="9" t="s">
        <v>53</v>
      </c>
      <c r="I215" s="85"/>
      <c r="J215" s="85"/>
    </row>
    <row r="216" spans="1:10" ht="13.5" thickBot="1" x14ac:dyDescent="0.25">
      <c r="A216" s="60" t="s">
        <v>66</v>
      </c>
      <c r="B216" s="61" t="s">
        <v>67</v>
      </c>
      <c r="C216" s="61" t="s">
        <v>42</v>
      </c>
      <c r="D216" s="62" t="s">
        <v>252</v>
      </c>
      <c r="E216" s="62" t="s">
        <v>68</v>
      </c>
      <c r="F216" s="63" t="s">
        <v>69</v>
      </c>
      <c r="I216" s="85"/>
      <c r="J216" s="85"/>
    </row>
    <row r="217" spans="1:10" x14ac:dyDescent="0.2">
      <c r="A217" s="13" t="s">
        <v>12</v>
      </c>
      <c r="B217" s="14" t="s">
        <v>10</v>
      </c>
      <c r="C217" s="15">
        <f>C196</f>
        <v>0</v>
      </c>
      <c r="D217" s="15">
        <f>0.01*($E$185)</f>
        <v>0</v>
      </c>
      <c r="E217" s="15">
        <f>C217*D217</f>
        <v>0</v>
      </c>
      <c r="I217" s="85"/>
      <c r="J217" s="85"/>
    </row>
    <row r="218" spans="1:10" x14ac:dyDescent="0.2">
      <c r="A218" s="16" t="s">
        <v>204</v>
      </c>
      <c r="B218" s="17" t="s">
        <v>10</v>
      </c>
      <c r="C218" s="15">
        <f>C196</f>
        <v>0</v>
      </c>
      <c r="D218" s="89"/>
      <c r="E218" s="18">
        <f>C218*D218</f>
        <v>0</v>
      </c>
      <c r="I218" s="85"/>
      <c r="J218" s="85"/>
    </row>
    <row r="219" spans="1:10" x14ac:dyDescent="0.2">
      <c r="A219" s="16" t="s">
        <v>13</v>
      </c>
      <c r="B219" s="17" t="s">
        <v>10</v>
      </c>
      <c r="C219" s="15">
        <f>C196</f>
        <v>0</v>
      </c>
      <c r="D219" s="89"/>
      <c r="E219" s="18">
        <f>C219*D219</f>
        <v>0</v>
      </c>
      <c r="F219" s="31"/>
      <c r="I219" s="85"/>
      <c r="J219" s="85"/>
    </row>
    <row r="220" spans="1:10" ht="13.5" thickBot="1" x14ac:dyDescent="0.25">
      <c r="A220" s="103" t="s">
        <v>14</v>
      </c>
      <c r="B220" s="104" t="s">
        <v>8</v>
      </c>
      <c r="C220" s="104">
        <v>12</v>
      </c>
      <c r="D220" s="105">
        <f>SUM(E217:E219)</f>
        <v>0</v>
      </c>
      <c r="E220" s="105">
        <f>D220/C220</f>
        <v>0</v>
      </c>
      <c r="I220" s="85"/>
      <c r="J220" s="85"/>
    </row>
    <row r="221" spans="1:10" ht="13.5" thickBot="1" x14ac:dyDescent="0.25">
      <c r="D221" s="124" t="s">
        <v>205</v>
      </c>
      <c r="E221" s="50">
        <f>$B$51</f>
        <v>0</v>
      </c>
      <c r="F221" s="125">
        <f>E220*E221</f>
        <v>0</v>
      </c>
      <c r="I221" s="85"/>
      <c r="J221" s="85"/>
    </row>
    <row r="222" spans="1:10" ht="11.25" customHeight="1" x14ac:dyDescent="0.2">
      <c r="I222" s="85"/>
      <c r="J222" s="85"/>
    </row>
    <row r="223" spans="1:10" x14ac:dyDescent="0.2">
      <c r="A223" s="9" t="s">
        <v>54</v>
      </c>
      <c r="B223" s="32"/>
      <c r="I223" s="85"/>
      <c r="J223" s="85"/>
    </row>
    <row r="224" spans="1:10" x14ac:dyDescent="0.2">
      <c r="B224" s="32"/>
      <c r="I224" s="85"/>
      <c r="J224" s="85"/>
    </row>
    <row r="225" spans="1:10" x14ac:dyDescent="0.2">
      <c r="A225" s="103" t="s">
        <v>129</v>
      </c>
      <c r="B225" s="114">
        <v>720</v>
      </c>
      <c r="I225" s="85"/>
      <c r="J225" s="85"/>
    </row>
    <row r="226" spans="1:10" ht="13.5" thickBot="1" x14ac:dyDescent="0.25">
      <c r="B226" s="32"/>
      <c r="I226" s="85"/>
      <c r="J226" s="85"/>
    </row>
    <row r="227" spans="1:10" ht="13.5" thickBot="1" x14ac:dyDescent="0.25">
      <c r="A227" s="60" t="s">
        <v>66</v>
      </c>
      <c r="B227" s="61" t="s">
        <v>67</v>
      </c>
      <c r="C227" s="61" t="s">
        <v>276</v>
      </c>
      <c r="D227" s="62" t="s">
        <v>252</v>
      </c>
      <c r="E227" s="62" t="s">
        <v>68</v>
      </c>
      <c r="F227" s="63" t="s">
        <v>69</v>
      </c>
      <c r="I227" s="85"/>
      <c r="J227" s="85"/>
    </row>
    <row r="228" spans="1:10" x14ac:dyDescent="0.2">
      <c r="A228" s="13" t="s">
        <v>15</v>
      </c>
      <c r="B228" s="14" t="s">
        <v>16</v>
      </c>
      <c r="C228" s="97"/>
      <c r="D228" s="98"/>
      <c r="E228" s="15"/>
      <c r="I228" s="85"/>
      <c r="J228" s="85"/>
    </row>
    <row r="229" spans="1:10" x14ac:dyDescent="0.2">
      <c r="A229" s="16" t="s">
        <v>17</v>
      </c>
      <c r="B229" s="17" t="s">
        <v>18</v>
      </c>
      <c r="C229" s="94">
        <f>B225</f>
        <v>720</v>
      </c>
      <c r="D229" s="275" t="str">
        <f>IFERROR(+D228/C228,"-")</f>
        <v>-</v>
      </c>
      <c r="E229" s="18" t="str">
        <f>IFERROR(C229*D229,"-")</f>
        <v>-</v>
      </c>
      <c r="I229" s="85"/>
      <c r="J229" s="85"/>
    </row>
    <row r="230" spans="1:10" x14ac:dyDescent="0.2">
      <c r="A230" s="16" t="s">
        <v>253</v>
      </c>
      <c r="B230" s="17" t="s">
        <v>19</v>
      </c>
      <c r="C230" s="100"/>
      <c r="D230" s="89"/>
      <c r="E230" s="18"/>
      <c r="G230" s="112"/>
      <c r="H230" s="52"/>
      <c r="I230" s="85"/>
      <c r="J230" s="85"/>
    </row>
    <row r="231" spans="1:10" x14ac:dyDescent="0.2">
      <c r="A231" s="16" t="s">
        <v>20</v>
      </c>
      <c r="B231" s="17" t="s">
        <v>18</v>
      </c>
      <c r="C231" s="94">
        <f>C229</f>
        <v>720</v>
      </c>
      <c r="D231" s="272">
        <f>+C230*D230/1000</f>
        <v>0</v>
      </c>
      <c r="E231" s="18">
        <f>C231*D231</f>
        <v>0</v>
      </c>
      <c r="G231" s="112"/>
      <c r="H231" s="52"/>
      <c r="I231" s="85"/>
      <c r="J231" s="85"/>
    </row>
    <row r="232" spans="1:10" x14ac:dyDescent="0.2">
      <c r="A232" s="16" t="s">
        <v>254</v>
      </c>
      <c r="B232" s="17" t="s">
        <v>19</v>
      </c>
      <c r="C232" s="100"/>
      <c r="D232" s="89"/>
      <c r="E232" s="18"/>
      <c r="G232" s="112"/>
      <c r="H232" s="52"/>
      <c r="I232" s="85"/>
      <c r="J232" s="85"/>
    </row>
    <row r="233" spans="1:10" x14ac:dyDescent="0.2">
      <c r="A233" s="16" t="s">
        <v>21</v>
      </c>
      <c r="B233" s="17" t="s">
        <v>18</v>
      </c>
      <c r="C233" s="94">
        <f>C229</f>
        <v>720</v>
      </c>
      <c r="D233" s="272">
        <f>+C232*D232/1000</f>
        <v>0</v>
      </c>
      <c r="E233" s="18">
        <f>C233*D233</f>
        <v>0</v>
      </c>
      <c r="G233" s="112"/>
      <c r="H233" s="52"/>
      <c r="I233" s="85"/>
      <c r="J233" s="85"/>
    </row>
    <row r="234" spans="1:10" x14ac:dyDescent="0.2">
      <c r="A234" s="16" t="s">
        <v>255</v>
      </c>
      <c r="B234" s="17" t="s">
        <v>19</v>
      </c>
      <c r="C234" s="100"/>
      <c r="D234" s="89"/>
      <c r="E234" s="18"/>
      <c r="G234" s="112"/>
      <c r="H234" s="52"/>
      <c r="I234" s="85"/>
      <c r="J234" s="85"/>
    </row>
    <row r="235" spans="1:10" x14ac:dyDescent="0.2">
      <c r="A235" s="16" t="s">
        <v>22</v>
      </c>
      <c r="B235" s="17" t="s">
        <v>18</v>
      </c>
      <c r="C235" s="94">
        <f>C229</f>
        <v>720</v>
      </c>
      <c r="D235" s="272">
        <f>+C234*D234/1000</f>
        <v>0</v>
      </c>
      <c r="E235" s="18">
        <f>C235*D235</f>
        <v>0</v>
      </c>
      <c r="G235" s="112"/>
      <c r="H235" s="52"/>
      <c r="I235" s="85"/>
      <c r="J235" s="85"/>
    </row>
    <row r="236" spans="1:10" x14ac:dyDescent="0.2">
      <c r="A236" s="16" t="s">
        <v>23</v>
      </c>
      <c r="B236" s="17" t="s">
        <v>24</v>
      </c>
      <c r="C236" s="100"/>
      <c r="D236" s="89"/>
      <c r="E236" s="18"/>
      <c r="G236" s="112"/>
      <c r="H236" s="52"/>
      <c r="I236" s="85"/>
      <c r="J236" s="85"/>
    </row>
    <row r="237" spans="1:10" x14ac:dyDescent="0.2">
      <c r="A237" s="16" t="s">
        <v>25</v>
      </c>
      <c r="B237" s="17" t="s">
        <v>18</v>
      </c>
      <c r="C237" s="94">
        <f>C229</f>
        <v>720</v>
      </c>
      <c r="D237" s="272">
        <f>+C236*D236/1000</f>
        <v>0</v>
      </c>
      <c r="E237" s="18">
        <f>C237*D237</f>
        <v>0</v>
      </c>
      <c r="G237" s="112"/>
      <c r="H237" s="52"/>
      <c r="I237" s="85"/>
      <c r="J237" s="85"/>
    </row>
    <row r="238" spans="1:10" ht="13.5" thickBot="1" x14ac:dyDescent="0.25">
      <c r="A238" s="103" t="s">
        <v>275</v>
      </c>
      <c r="B238" s="104" t="s">
        <v>130</v>
      </c>
      <c r="C238" s="273"/>
      <c r="D238" s="274">
        <f>IFERROR(D229+D231+D233+D235+D237,0)</f>
        <v>0</v>
      </c>
      <c r="E238" s="18"/>
      <c r="G238" s="112"/>
      <c r="H238" s="52"/>
      <c r="I238" s="85"/>
      <c r="J238" s="85"/>
    </row>
    <row r="239" spans="1:10" ht="13.5" thickBot="1" x14ac:dyDescent="0.25">
      <c r="F239" s="21">
        <f>SUM(E228:E237)</f>
        <v>0</v>
      </c>
      <c r="I239" s="85"/>
      <c r="J239" s="85"/>
    </row>
    <row r="240" spans="1:10" ht="11.25" customHeight="1" x14ac:dyDescent="0.2">
      <c r="I240" s="85"/>
      <c r="J240" s="85"/>
    </row>
    <row r="241" spans="1:10" ht="13.5" thickBot="1" x14ac:dyDescent="0.25">
      <c r="A241" s="9" t="s">
        <v>55</v>
      </c>
      <c r="I241" s="85"/>
      <c r="J241" s="85"/>
    </row>
    <row r="242" spans="1:10" ht="13.5" thickBot="1" x14ac:dyDescent="0.25">
      <c r="A242" s="60" t="s">
        <v>66</v>
      </c>
      <c r="B242" s="61" t="s">
        <v>67</v>
      </c>
      <c r="C242" s="61" t="s">
        <v>42</v>
      </c>
      <c r="D242" s="62" t="s">
        <v>252</v>
      </c>
      <c r="E242" s="62" t="s">
        <v>68</v>
      </c>
      <c r="F242" s="63" t="s">
        <v>69</v>
      </c>
      <c r="I242" s="85"/>
      <c r="J242" s="85"/>
    </row>
    <row r="243" spans="1:10" ht="13.5" thickBot="1" x14ac:dyDescent="0.25">
      <c r="A243" s="13" t="s">
        <v>128</v>
      </c>
      <c r="B243" s="14" t="s">
        <v>130</v>
      </c>
      <c r="C243" s="94">
        <f>C229</f>
        <v>720</v>
      </c>
      <c r="D243" s="87"/>
      <c r="E243" s="15">
        <f>C243*D243</f>
        <v>0</v>
      </c>
      <c r="I243" s="85"/>
      <c r="J243" s="85"/>
    </row>
    <row r="244" spans="1:10" ht="13.5" thickBot="1" x14ac:dyDescent="0.25">
      <c r="F244" s="21">
        <f>E243</f>
        <v>0</v>
      </c>
      <c r="I244" s="85"/>
      <c r="J244" s="85"/>
    </row>
    <row r="245" spans="1:10" ht="11.25" customHeight="1" x14ac:dyDescent="0.2">
      <c r="I245" s="85"/>
      <c r="J245" s="85"/>
    </row>
    <row r="246" spans="1:10" ht="13.5" thickBot="1" x14ac:dyDescent="0.25">
      <c r="A246" s="9" t="s">
        <v>64</v>
      </c>
      <c r="I246" s="85"/>
      <c r="J246" s="85"/>
    </row>
    <row r="247" spans="1:10" ht="13.5" thickBot="1" x14ac:dyDescent="0.25">
      <c r="A247" s="60" t="s">
        <v>66</v>
      </c>
      <c r="B247" s="61" t="s">
        <v>67</v>
      </c>
      <c r="C247" s="61" t="s">
        <v>42</v>
      </c>
      <c r="D247" s="62" t="s">
        <v>252</v>
      </c>
      <c r="E247" s="62" t="s">
        <v>68</v>
      </c>
      <c r="F247" s="63" t="s">
        <v>69</v>
      </c>
      <c r="I247" s="85"/>
      <c r="J247" s="85"/>
    </row>
    <row r="248" spans="1:10" x14ac:dyDescent="0.2">
      <c r="A248" s="13" t="s">
        <v>100</v>
      </c>
      <c r="B248" s="14" t="s">
        <v>10</v>
      </c>
      <c r="C248" s="96"/>
      <c r="D248" s="87"/>
      <c r="E248" s="15">
        <f>C248*D248</f>
        <v>0</v>
      </c>
      <c r="I248" s="85"/>
      <c r="J248" s="85"/>
    </row>
    <row r="249" spans="1:10" x14ac:dyDescent="0.2">
      <c r="A249" s="13" t="s">
        <v>131</v>
      </c>
      <c r="B249" s="14" t="s">
        <v>10</v>
      </c>
      <c r="C249" s="96"/>
      <c r="D249" s="106"/>
      <c r="E249" s="15"/>
      <c r="I249" s="85"/>
      <c r="J249" s="85"/>
    </row>
    <row r="250" spans="1:10" x14ac:dyDescent="0.2">
      <c r="A250" s="13" t="s">
        <v>73</v>
      </c>
      <c r="B250" s="14" t="s">
        <v>10</v>
      </c>
      <c r="C250" s="15">
        <f>C248*C249</f>
        <v>0</v>
      </c>
      <c r="D250" s="87"/>
      <c r="E250" s="15">
        <f>C250*D250</f>
        <v>0</v>
      </c>
      <c r="I250" s="85"/>
      <c r="J250" s="85"/>
    </row>
    <row r="251" spans="1:10" x14ac:dyDescent="0.2">
      <c r="A251" s="16" t="s">
        <v>101</v>
      </c>
      <c r="B251" s="17" t="s">
        <v>26</v>
      </c>
      <c r="C251" s="99"/>
      <c r="D251" s="18">
        <f>E248+E250</f>
        <v>0</v>
      </c>
      <c r="E251" s="18" t="str">
        <f>IFERROR(D251/C251,"-")</f>
        <v>-</v>
      </c>
      <c r="I251" s="85"/>
      <c r="J251" s="85"/>
    </row>
    <row r="252" spans="1:10" ht="13.5" thickBot="1" x14ac:dyDescent="0.25">
      <c r="A252" s="16" t="s">
        <v>57</v>
      </c>
      <c r="B252" s="17" t="s">
        <v>18</v>
      </c>
      <c r="C252" s="94">
        <f>B225</f>
        <v>720</v>
      </c>
      <c r="D252" s="18" t="str">
        <f>E251</f>
        <v>-</v>
      </c>
      <c r="E252" s="18">
        <f>IFERROR(C252*D252,0)</f>
        <v>0</v>
      </c>
      <c r="I252" s="85"/>
      <c r="J252" s="85"/>
    </row>
    <row r="253" spans="1:10" ht="13.5" thickBot="1" x14ac:dyDescent="0.25">
      <c r="F253" s="21">
        <f>E252</f>
        <v>0</v>
      </c>
      <c r="I253" s="85"/>
      <c r="J253" s="85"/>
    </row>
    <row r="254" spans="1:10" ht="11.25" customHeight="1" x14ac:dyDescent="0.2">
      <c r="I254" s="85"/>
      <c r="J254" s="85"/>
    </row>
    <row r="255" spans="1:10" ht="11.25" customHeight="1" thickBot="1" x14ac:dyDescent="0.25">
      <c r="G255" s="9"/>
    </row>
    <row r="256" spans="1:10" ht="13.5" thickBot="1" x14ac:dyDescent="0.25">
      <c r="A256" s="24" t="s">
        <v>240</v>
      </c>
      <c r="B256" s="25"/>
      <c r="C256" s="25"/>
      <c r="D256" s="26"/>
      <c r="E256" s="27"/>
      <c r="F256" s="21">
        <f>+SUM(F185:F255)</f>
        <v>0</v>
      </c>
      <c r="G256" s="9"/>
    </row>
    <row r="257" spans="1:7" ht="11.25" customHeight="1" x14ac:dyDescent="0.2">
      <c r="G257" s="9"/>
    </row>
    <row r="258" spans="1:7" x14ac:dyDescent="0.2">
      <c r="A258" s="34" t="s">
        <v>77</v>
      </c>
      <c r="B258" s="34"/>
      <c r="C258" s="34"/>
      <c r="D258" s="35"/>
      <c r="E258" s="35"/>
      <c r="F258" s="33"/>
      <c r="G258" s="9"/>
    </row>
    <row r="259" spans="1:7" ht="11.25" customHeight="1" thickBot="1" x14ac:dyDescent="0.25">
      <c r="G259" s="9"/>
    </row>
    <row r="260" spans="1:7" ht="13.5" thickBot="1" x14ac:dyDescent="0.25">
      <c r="A260" s="60" t="s">
        <v>66</v>
      </c>
      <c r="B260" s="61" t="s">
        <v>67</v>
      </c>
      <c r="C260" s="61" t="s">
        <v>42</v>
      </c>
      <c r="D260" s="62" t="s">
        <v>252</v>
      </c>
      <c r="E260" s="62" t="s">
        <v>68</v>
      </c>
      <c r="F260" s="63" t="s">
        <v>69</v>
      </c>
      <c r="G260" s="9"/>
    </row>
    <row r="261" spans="1:7" x14ac:dyDescent="0.2">
      <c r="A261" s="16" t="s">
        <v>74</v>
      </c>
      <c r="B261" s="17" t="s">
        <v>10</v>
      </c>
      <c r="C261" s="101"/>
      <c r="D261" s="87"/>
      <c r="E261" s="18">
        <f>C261*D261</f>
        <v>0</v>
      </c>
      <c r="F261" s="55"/>
      <c r="G261" s="9"/>
    </row>
    <row r="262" spans="1:7" x14ac:dyDescent="0.2">
      <c r="A262" s="16" t="s">
        <v>28</v>
      </c>
      <c r="B262" s="17" t="s">
        <v>10</v>
      </c>
      <c r="C262" s="101"/>
      <c r="D262" s="87"/>
      <c r="E262" s="18">
        <f>C262*D262</f>
        <v>0</v>
      </c>
      <c r="F262" s="55"/>
      <c r="G262" s="9"/>
    </row>
    <row r="263" spans="1:7" x14ac:dyDescent="0.2">
      <c r="A263" s="16" t="s">
        <v>29</v>
      </c>
      <c r="B263" s="17" t="s">
        <v>10</v>
      </c>
      <c r="C263" s="101"/>
      <c r="D263" s="87"/>
      <c r="E263" s="18">
        <f>C263*D263</f>
        <v>0</v>
      </c>
      <c r="F263" s="55"/>
      <c r="G263" s="9"/>
    </row>
    <row r="264" spans="1:7" x14ac:dyDescent="0.2">
      <c r="A264" s="16" t="s">
        <v>59</v>
      </c>
      <c r="B264" s="17" t="s">
        <v>60</v>
      </c>
      <c r="C264" s="101"/>
      <c r="D264" s="87"/>
      <c r="E264" s="18">
        <f>C264*D264</f>
        <v>0</v>
      </c>
      <c r="F264" s="55"/>
      <c r="G264" s="9"/>
    </row>
    <row r="265" spans="1:7" ht="13.5" thickBot="1" x14ac:dyDescent="0.25">
      <c r="A265" s="16" t="s">
        <v>62</v>
      </c>
      <c r="B265" s="17" t="s">
        <v>60</v>
      </c>
      <c r="C265" s="101"/>
      <c r="D265" s="87"/>
      <c r="E265" s="18">
        <f>C265*D265</f>
        <v>0</v>
      </c>
      <c r="F265" s="55"/>
      <c r="G265" s="9"/>
    </row>
    <row r="266" spans="1:7" ht="13.5" thickBot="1" x14ac:dyDescent="0.25">
      <c r="A266" s="34"/>
      <c r="B266" s="34"/>
      <c r="C266" s="34"/>
      <c r="D266" s="34"/>
      <c r="E266" s="35"/>
      <c r="F266" s="21">
        <f>SUM(E261:E265)</f>
        <v>0</v>
      </c>
      <c r="G266" s="9"/>
    </row>
    <row r="267" spans="1:7" ht="11.25" customHeight="1" thickBot="1" x14ac:dyDescent="0.25">
      <c r="G267" s="9"/>
    </row>
    <row r="268" spans="1:7" ht="13.5" thickBot="1" x14ac:dyDescent="0.25">
      <c r="A268" s="24" t="s">
        <v>241</v>
      </c>
      <c r="B268" s="25"/>
      <c r="C268" s="25"/>
      <c r="D268" s="26"/>
      <c r="E268" s="27"/>
      <c r="F268" s="21">
        <f>+F266</f>
        <v>0</v>
      </c>
      <c r="G268" s="9"/>
    </row>
    <row r="269" spans="1:7" ht="11.25" customHeight="1" x14ac:dyDescent="0.2">
      <c r="G269" s="9"/>
    </row>
    <row r="270" spans="1:7" x14ac:dyDescent="0.2">
      <c r="A270" s="34" t="s">
        <v>78</v>
      </c>
      <c r="B270" s="34"/>
      <c r="C270" s="34"/>
      <c r="D270" s="35"/>
      <c r="E270" s="35"/>
      <c r="F270" s="33"/>
    </row>
    <row r="271" spans="1:7" ht="11.25" customHeight="1" thickBot="1" x14ac:dyDescent="0.25"/>
    <row r="272" spans="1:7" ht="13.5" thickBot="1" x14ac:dyDescent="0.25">
      <c r="A272" s="60" t="s">
        <v>66</v>
      </c>
      <c r="B272" s="61" t="s">
        <v>67</v>
      </c>
      <c r="C272" s="61" t="s">
        <v>42</v>
      </c>
      <c r="D272" s="62" t="s">
        <v>252</v>
      </c>
      <c r="E272" s="62" t="s">
        <v>68</v>
      </c>
      <c r="F272" s="63" t="s">
        <v>69</v>
      </c>
    </row>
    <row r="273" spans="1:7" x14ac:dyDescent="0.2">
      <c r="A273" s="16" t="s">
        <v>238</v>
      </c>
      <c r="B273" s="53" t="s">
        <v>60</v>
      </c>
      <c r="C273" s="69">
        <f>C185</f>
        <v>1</v>
      </c>
      <c r="D273" s="89"/>
      <c r="E273" s="18">
        <f>+D273*C273</f>
        <v>0</v>
      </c>
      <c r="F273" s="55"/>
    </row>
    <row r="274" spans="1:7" x14ac:dyDescent="0.2">
      <c r="A274" s="16" t="s">
        <v>63</v>
      </c>
      <c r="B274" s="53" t="s">
        <v>8</v>
      </c>
      <c r="C274" s="155">
        <v>60</v>
      </c>
      <c r="D274" s="80">
        <f>SUM(E273:E273)</f>
        <v>0</v>
      </c>
      <c r="E274" s="80">
        <f>+D274/C274</f>
        <v>0</v>
      </c>
      <c r="F274" s="55"/>
    </row>
    <row r="275" spans="1:7" x14ac:dyDescent="0.2">
      <c r="A275" s="16" t="s">
        <v>239</v>
      </c>
      <c r="B275" s="17" t="s">
        <v>10</v>
      </c>
      <c r="C275" s="69">
        <f>+C273</f>
        <v>1</v>
      </c>
      <c r="D275" s="89"/>
      <c r="E275" s="18">
        <f>C275*D275</f>
        <v>0</v>
      </c>
      <c r="F275" s="55"/>
    </row>
    <row r="276" spans="1:7" ht="13.5" thickBot="1" x14ac:dyDescent="0.25">
      <c r="A276" s="16" t="s">
        <v>39</v>
      </c>
      <c r="B276" s="53" t="s">
        <v>8</v>
      </c>
      <c r="C276" s="155">
        <v>1</v>
      </c>
      <c r="D276" s="80">
        <f>+E275</f>
        <v>0</v>
      </c>
      <c r="E276" s="80">
        <f>+D276/C276</f>
        <v>0</v>
      </c>
      <c r="F276" s="55"/>
    </row>
    <row r="277" spans="1:7" ht="13.5" thickBot="1" x14ac:dyDescent="0.25">
      <c r="A277" s="81"/>
      <c r="B277" s="81"/>
      <c r="C277" s="81"/>
      <c r="D277" s="124" t="s">
        <v>205</v>
      </c>
      <c r="E277" s="50">
        <f>$B$51</f>
        <v>0</v>
      </c>
      <c r="F277" s="82">
        <f>(E274+E276)*E277</f>
        <v>0</v>
      </c>
    </row>
    <row r="278" spans="1:7" s="51" customFormat="1" ht="11.25" customHeight="1" thickBot="1" x14ac:dyDescent="0.25">
      <c r="A278" s="9"/>
      <c r="B278" s="9"/>
      <c r="C278" s="9"/>
      <c r="D278" s="10"/>
      <c r="E278" s="10"/>
      <c r="F278" s="10"/>
      <c r="G278" s="84"/>
    </row>
    <row r="279" spans="1:7" ht="13.5" thickBot="1" x14ac:dyDescent="0.25">
      <c r="A279" s="24" t="s">
        <v>237</v>
      </c>
      <c r="B279" s="25"/>
      <c r="C279" s="25"/>
      <c r="D279" s="26"/>
      <c r="E279" s="27"/>
      <c r="F279" s="21">
        <f>+F277</f>
        <v>0</v>
      </c>
    </row>
    <row r="280" spans="1:7" ht="11.25" customHeight="1" thickBot="1" x14ac:dyDescent="0.25"/>
    <row r="281" spans="1:7" ht="17.25" customHeight="1" thickBot="1" x14ac:dyDescent="0.25">
      <c r="A281" s="24" t="s">
        <v>242</v>
      </c>
      <c r="B281" s="28"/>
      <c r="C281" s="28"/>
      <c r="D281" s="29"/>
      <c r="E281" s="30"/>
      <c r="F281" s="22">
        <f>+F143+F177+F256+F268+F279</f>
        <v>0</v>
      </c>
    </row>
    <row r="282" spans="1:7" ht="11.25" customHeight="1" x14ac:dyDescent="0.2"/>
    <row r="283" spans="1:7" x14ac:dyDescent="0.2">
      <c r="A283" s="11" t="s">
        <v>93</v>
      </c>
    </row>
    <row r="284" spans="1:7" ht="11.25" customHeight="1" thickBot="1" x14ac:dyDescent="0.25"/>
    <row r="285" spans="1:7" ht="13.5" thickBot="1" x14ac:dyDescent="0.25">
      <c r="A285" s="60" t="s">
        <v>66</v>
      </c>
      <c r="B285" s="61" t="s">
        <v>67</v>
      </c>
      <c r="C285" s="61" t="s">
        <v>42</v>
      </c>
      <c r="D285" s="62" t="s">
        <v>252</v>
      </c>
      <c r="E285" s="62" t="s">
        <v>68</v>
      </c>
      <c r="F285" s="63" t="s">
        <v>69</v>
      </c>
    </row>
    <row r="286" spans="1:7" ht="13.5" thickBot="1" x14ac:dyDescent="0.25">
      <c r="A286" s="13" t="s">
        <v>38</v>
      </c>
      <c r="B286" s="14" t="s">
        <v>2</v>
      </c>
      <c r="C286" s="141">
        <f>'4.BDI'!C20*100</f>
        <v>0</v>
      </c>
      <c r="D286" s="15">
        <f>+F281</f>
        <v>0</v>
      </c>
      <c r="E286" s="15">
        <f>C286*D286/100</f>
        <v>0</v>
      </c>
    </row>
    <row r="287" spans="1:7" ht="13.5" thickBot="1" x14ac:dyDescent="0.25">
      <c r="F287" s="21">
        <f>+E286</f>
        <v>0</v>
      </c>
    </row>
    <row r="288" spans="1:7" x14ac:dyDescent="0.2">
      <c r="A288" s="11" t="s">
        <v>323</v>
      </c>
    </row>
    <row r="289" spans="1:7" ht="11.25" customHeight="1" thickBot="1" x14ac:dyDescent="0.25"/>
    <row r="290" spans="1:7" ht="13.5" thickBot="1" x14ac:dyDescent="0.25">
      <c r="A290" s="60" t="s">
        <v>66</v>
      </c>
      <c r="B290" s="61" t="s">
        <v>67</v>
      </c>
      <c r="C290" s="61" t="s">
        <v>42</v>
      </c>
      <c r="D290" s="62" t="s">
        <v>252</v>
      </c>
      <c r="E290" s="62" t="s">
        <v>68</v>
      </c>
      <c r="F290" s="63" t="s">
        <v>69</v>
      </c>
    </row>
    <row r="291" spans="1:7" ht="13.5" thickBot="1" x14ac:dyDescent="0.25">
      <c r="A291" s="308" t="s">
        <v>324</v>
      </c>
      <c r="B291" s="315" t="s">
        <v>282</v>
      </c>
      <c r="C291" s="141">
        <v>80</v>
      </c>
      <c r="D291" s="87"/>
      <c r="E291" s="15">
        <f>D291*C291</f>
        <v>0</v>
      </c>
    </row>
    <row r="292" spans="1:7" ht="13.5" thickBot="1" x14ac:dyDescent="0.25">
      <c r="F292" s="21">
        <f>D291*C291</f>
        <v>0</v>
      </c>
    </row>
    <row r="293" spans="1:7" ht="11.25" customHeight="1" thickBot="1" x14ac:dyDescent="0.25"/>
    <row r="294" spans="1:7" ht="13.5" thickBot="1" x14ac:dyDescent="0.25">
      <c r="A294" s="24" t="s">
        <v>257</v>
      </c>
      <c r="B294" s="28"/>
      <c r="C294" s="28"/>
      <c r="D294" s="29"/>
      <c r="E294" s="30"/>
      <c r="F294" s="22">
        <f>F287</f>
        <v>0</v>
      </c>
    </row>
    <row r="295" spans="1:7" x14ac:dyDescent="0.2">
      <c r="A295" s="34"/>
      <c r="B295" s="34"/>
      <c r="C295" s="34"/>
      <c r="D295" s="35"/>
      <c r="E295" s="35"/>
      <c r="F295" s="33"/>
    </row>
    <row r="296" spans="1:7" ht="11.25" customHeight="1" thickBot="1" x14ac:dyDescent="0.25"/>
    <row r="297" spans="1:7" ht="24.75" customHeight="1" thickBot="1" x14ac:dyDescent="0.25">
      <c r="A297" s="24" t="s">
        <v>243</v>
      </c>
      <c r="B297" s="28"/>
      <c r="C297" s="28"/>
      <c r="D297" s="29"/>
      <c r="E297" s="30"/>
      <c r="F297" s="22">
        <f>F281+F294+F292</f>
        <v>0</v>
      </c>
    </row>
    <row r="298" spans="1:7" ht="12.6" customHeight="1" x14ac:dyDescent="0.2">
      <c r="A298" s="56"/>
      <c r="B298" s="56"/>
      <c r="C298" s="56"/>
      <c r="D298" s="57"/>
      <c r="E298" s="57"/>
      <c r="F298" s="57"/>
    </row>
    <row r="299" spans="1:7" ht="14.25" x14ac:dyDescent="0.2">
      <c r="A299" s="8"/>
      <c r="B299" s="8"/>
      <c r="C299" s="8"/>
      <c r="D299" s="36"/>
      <c r="E299" s="36"/>
    </row>
    <row r="300" spans="1:7" ht="16.149999999999999" customHeight="1" x14ac:dyDescent="0.2">
      <c r="A300" s="252" t="s">
        <v>236</v>
      </c>
      <c r="B300" s="253"/>
      <c r="C300" s="253"/>
      <c r="D300" s="254">
        <v>80</v>
      </c>
      <c r="E300" s="255" t="s">
        <v>27</v>
      </c>
      <c r="G300" s="10" t="s">
        <v>215</v>
      </c>
    </row>
    <row r="301" spans="1:7" ht="13.5" thickBot="1" x14ac:dyDescent="0.25"/>
    <row r="302" spans="1:7" ht="25.5" customHeight="1" thickBot="1" x14ac:dyDescent="0.25">
      <c r="A302" s="24" t="s">
        <v>325</v>
      </c>
      <c r="B302" s="25"/>
      <c r="C302" s="25"/>
      <c r="D302" s="26"/>
      <c r="E302" s="256" t="s">
        <v>34</v>
      </c>
      <c r="F302" s="257">
        <f>IFERROR(F297/D300,"-")+D291</f>
        <v>0</v>
      </c>
      <c r="G302" s="10" t="s">
        <v>215</v>
      </c>
    </row>
    <row r="303" spans="1:7" ht="12.6" customHeight="1" x14ac:dyDescent="0.2">
      <c r="A303" s="34"/>
      <c r="B303" s="34"/>
      <c r="C303" s="34"/>
      <c r="D303" s="35"/>
      <c r="E303" s="35"/>
      <c r="F303" s="35"/>
    </row>
    <row r="304" spans="1:7" s="4" customFormat="1" ht="9.75" customHeight="1" x14ac:dyDescent="0.2">
      <c r="A304" s="39"/>
      <c r="B304" s="10"/>
      <c r="C304" s="10"/>
      <c r="D304" s="10"/>
      <c r="E304" s="10"/>
      <c r="F304" s="10"/>
      <c r="G304" s="6"/>
    </row>
    <row r="305" spans="1:7" s="4" customFormat="1" ht="9.75" customHeight="1" x14ac:dyDescent="0.2">
      <c r="A305" s="39"/>
      <c r="B305" s="10"/>
      <c r="C305" s="10"/>
      <c r="D305" s="10"/>
      <c r="E305" s="10"/>
      <c r="F305" s="10"/>
      <c r="G305" s="6"/>
    </row>
    <row r="306" spans="1:7" s="4" customFormat="1" ht="9.75" customHeight="1" x14ac:dyDescent="0.2">
      <c r="A306" s="39"/>
      <c r="B306" s="10"/>
      <c r="C306" s="10"/>
      <c r="D306" s="10"/>
      <c r="E306" s="10"/>
      <c r="F306" s="10"/>
      <c r="G306" s="6"/>
    </row>
    <row r="336" spans="4:7" ht="9" customHeight="1" x14ac:dyDescent="0.2">
      <c r="D336" s="9"/>
      <c r="E336" s="9"/>
      <c r="F336" s="9"/>
      <c r="G336" s="9"/>
    </row>
  </sheetData>
  <mergeCells count="7">
    <mergeCell ref="A47:D47"/>
    <mergeCell ref="A24:C24"/>
    <mergeCell ref="A11:F11"/>
    <mergeCell ref="A12:F12"/>
    <mergeCell ref="A40:D40"/>
    <mergeCell ref="A14:F14"/>
    <mergeCell ref="A39:E39"/>
  </mergeCells>
  <phoneticPr fontId="9" type="noConversion"/>
  <hyperlinks>
    <hyperlink ref="A199" location="AbaRemun" display="3.1.2. Remuneração do Capital"/>
    <hyperlink ref="A183" location="AbaDeprec" display="3.1.1. Depreciação"/>
    <hyperlink ref="A6" r:id="rId1"/>
  </hyperlinks>
  <pageMargins left="0.9055118110236221" right="0.51181102362204722" top="0.74803149606299213" bottom="0.74803149606299213" header="0.31496062992125984" footer="0.31496062992125984"/>
  <pageSetup paperSize="9" scale="76" fitToHeight="0" orientation="portrait" r:id="rId2"/>
  <headerFooter alignWithMargins="0">
    <oddFooter>&amp;R&amp;P de &amp;N</oddFooter>
  </headerFooter>
  <rowBreaks count="4" manualBreakCount="4">
    <brk id="52" max="5" man="1"/>
    <brk id="122" max="5" man="1"/>
    <brk id="178" max="5" man="1"/>
    <brk id="245" max="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>
      <selection activeCell="B15" sqref="B15"/>
    </sheetView>
  </sheetViews>
  <sheetFormatPr defaultRowHeight="12.75" x14ac:dyDescent="0.2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158" customWidth="1"/>
    <col min="5" max="10" width="9.140625" style="1"/>
    <col min="11" max="11" width="11" style="1" bestFit="1" customWidth="1"/>
    <col min="12" max="16384" width="9.140625" style="1"/>
  </cols>
  <sheetData>
    <row r="1" spans="1:12" x14ac:dyDescent="0.2">
      <c r="A1" s="11" t="s">
        <v>213</v>
      </c>
    </row>
    <row r="2" spans="1:12" x14ac:dyDescent="0.2">
      <c r="A2" s="140" t="s">
        <v>264</v>
      </c>
    </row>
    <row r="3" spans="1:12" s="4" customFormat="1" ht="15.6" customHeight="1" x14ac:dyDescent="0.2">
      <c r="B3" s="139"/>
      <c r="C3" s="139"/>
      <c r="D3" s="139"/>
      <c r="E3" s="139"/>
      <c r="F3" s="139"/>
      <c r="G3" s="6"/>
    </row>
    <row r="4" spans="1:12" s="4" customFormat="1" ht="15.6" customHeight="1" x14ac:dyDescent="0.2">
      <c r="A4" s="305"/>
      <c r="B4" s="139"/>
      <c r="C4" s="139"/>
      <c r="D4" s="139"/>
      <c r="E4" s="139"/>
      <c r="F4" s="139"/>
      <c r="G4" s="6"/>
    </row>
    <row r="5" spans="1:12" s="4" customFormat="1" ht="16.5" customHeight="1" x14ac:dyDescent="0.2">
      <c r="A5" s="305"/>
      <c r="B5" s="5"/>
      <c r="C5" s="5"/>
      <c r="D5" s="6"/>
      <c r="E5" s="6"/>
      <c r="F5" s="6"/>
      <c r="G5" s="6"/>
    </row>
    <row r="6" spans="1:12" ht="13.5" thickBot="1" x14ac:dyDescent="0.25"/>
    <row r="7" spans="1:12" ht="18" x14ac:dyDescent="0.2">
      <c r="A7" s="332" t="s">
        <v>246</v>
      </c>
      <c r="B7" s="333"/>
      <c r="C7" s="334"/>
      <c r="D7" s="150"/>
      <c r="E7" s="150"/>
      <c r="F7" s="150"/>
    </row>
    <row r="8" spans="1:12" ht="14.25" x14ac:dyDescent="0.2">
      <c r="A8" s="169" t="s">
        <v>151</v>
      </c>
      <c r="B8" s="170" t="s">
        <v>152</v>
      </c>
      <c r="C8" s="171" t="s">
        <v>153</v>
      </c>
      <c r="D8" s="172"/>
    </row>
    <row r="9" spans="1:12" ht="14.25" x14ac:dyDescent="0.2">
      <c r="A9" s="169" t="s">
        <v>154</v>
      </c>
      <c r="B9" s="170" t="s">
        <v>43</v>
      </c>
      <c r="C9" s="173">
        <v>0.2</v>
      </c>
      <c r="D9" s="172"/>
      <c r="F9" s="158"/>
      <c r="G9" s="158"/>
      <c r="H9" s="158"/>
      <c r="I9" s="158"/>
      <c r="J9" s="158"/>
      <c r="K9" s="158"/>
      <c r="L9" s="158"/>
    </row>
    <row r="10" spans="1:12" ht="14.25" x14ac:dyDescent="0.2">
      <c r="A10" s="169" t="s">
        <v>155</v>
      </c>
      <c r="B10" s="170" t="s">
        <v>156</v>
      </c>
      <c r="C10" s="173">
        <v>1.4999999999999999E-2</v>
      </c>
      <c r="D10" s="172"/>
      <c r="F10" s="158"/>
      <c r="G10" s="158"/>
      <c r="H10" s="158"/>
      <c r="I10" s="158"/>
      <c r="J10" s="158"/>
      <c r="K10" s="158"/>
      <c r="L10" s="158"/>
    </row>
    <row r="11" spans="1:12" ht="14.25" x14ac:dyDescent="0.2">
      <c r="A11" s="169" t="s">
        <v>157</v>
      </c>
      <c r="B11" s="170" t="s">
        <v>158</v>
      </c>
      <c r="C11" s="173">
        <v>0.01</v>
      </c>
      <c r="D11" s="172"/>
      <c r="F11" s="158"/>
      <c r="G11" s="158"/>
      <c r="H11" s="158"/>
      <c r="I11" s="158"/>
      <c r="J11" s="158"/>
      <c r="K11" s="158"/>
      <c r="L11" s="158"/>
    </row>
    <row r="12" spans="1:12" ht="14.25" x14ac:dyDescent="0.2">
      <c r="A12" s="169" t="s">
        <v>159</v>
      </c>
      <c r="B12" s="170" t="s">
        <v>160</v>
      </c>
      <c r="C12" s="173">
        <v>2E-3</v>
      </c>
      <c r="D12" s="172"/>
      <c r="F12" s="158"/>
      <c r="G12" s="158"/>
      <c r="H12" s="158"/>
      <c r="I12" s="158"/>
      <c r="J12" s="158"/>
      <c r="K12" s="158"/>
      <c r="L12" s="158"/>
    </row>
    <row r="13" spans="1:12" ht="14.25" x14ac:dyDescent="0.2">
      <c r="A13" s="169" t="s">
        <v>161</v>
      </c>
      <c r="B13" s="170" t="s">
        <v>162</v>
      </c>
      <c r="C13" s="173">
        <v>6.0000000000000001E-3</v>
      </c>
      <c r="D13" s="172"/>
      <c r="F13" s="158"/>
      <c r="G13" s="158"/>
      <c r="H13" s="158"/>
      <c r="I13" s="158"/>
      <c r="J13" s="158"/>
      <c r="K13" s="158"/>
      <c r="L13" s="158"/>
    </row>
    <row r="14" spans="1:12" ht="14.25" x14ac:dyDescent="0.2">
      <c r="A14" s="169" t="s">
        <v>163</v>
      </c>
      <c r="B14" s="170" t="s">
        <v>164</v>
      </c>
      <c r="C14" s="173">
        <v>2.5000000000000001E-2</v>
      </c>
      <c r="D14" s="172"/>
      <c r="F14" s="158"/>
      <c r="G14" s="158"/>
      <c r="H14" s="158"/>
      <c r="I14" s="158"/>
      <c r="J14" s="158"/>
      <c r="K14" s="158"/>
      <c r="L14" s="158"/>
    </row>
    <row r="15" spans="1:12" ht="14.25" x14ac:dyDescent="0.2">
      <c r="A15" s="169" t="s">
        <v>165</v>
      </c>
      <c r="B15" s="170" t="s">
        <v>166</v>
      </c>
      <c r="C15" s="173">
        <v>0.03</v>
      </c>
      <c r="D15" s="172"/>
      <c r="F15" s="158"/>
      <c r="G15" s="158"/>
      <c r="H15" s="158"/>
      <c r="I15" s="158"/>
      <c r="J15" s="158"/>
      <c r="K15" s="158"/>
      <c r="L15" s="158"/>
    </row>
    <row r="16" spans="1:12" ht="14.25" x14ac:dyDescent="0.2">
      <c r="A16" s="169" t="s">
        <v>167</v>
      </c>
      <c r="B16" s="170" t="s">
        <v>44</v>
      </c>
      <c r="C16" s="173">
        <v>0.08</v>
      </c>
      <c r="D16" s="174"/>
      <c r="F16" s="158"/>
      <c r="G16" s="158"/>
      <c r="H16" s="158"/>
      <c r="I16" s="158"/>
      <c r="J16" s="158"/>
      <c r="K16" s="158"/>
      <c r="L16" s="158"/>
    </row>
    <row r="17" spans="1:12" ht="15" x14ac:dyDescent="0.2">
      <c r="A17" s="169" t="s">
        <v>168</v>
      </c>
      <c r="B17" s="175" t="s">
        <v>169</v>
      </c>
      <c r="C17" s="176">
        <f>SUM(C9:C16)</f>
        <v>0.36800000000000005</v>
      </c>
      <c r="D17" s="174"/>
      <c r="F17" s="158"/>
      <c r="G17" s="158"/>
      <c r="H17" s="158"/>
      <c r="I17" s="158"/>
      <c r="J17" s="158"/>
      <c r="K17" s="158"/>
      <c r="L17" s="158"/>
    </row>
    <row r="18" spans="1:12" ht="15" x14ac:dyDescent="0.2">
      <c r="A18" s="177"/>
      <c r="B18" s="178"/>
      <c r="C18" s="179"/>
      <c r="D18" s="174"/>
      <c r="F18" s="158"/>
      <c r="G18" s="158"/>
      <c r="H18" s="158"/>
      <c r="I18" s="158"/>
      <c r="J18" s="158"/>
      <c r="K18" s="158"/>
      <c r="L18" s="158"/>
    </row>
    <row r="19" spans="1:12" ht="14.25" x14ac:dyDescent="0.2">
      <c r="A19" s="169" t="s">
        <v>170</v>
      </c>
      <c r="B19" s="180" t="s">
        <v>171</v>
      </c>
      <c r="C19" s="173">
        <f>ROUND(IF('3.CAGED'!C32&gt;24,(1-12/'3.CAGED'!C32)*0.1111,0.1111-C28),4)</f>
        <v>6.1899999999999997E-2</v>
      </c>
      <c r="D19" s="174"/>
      <c r="F19" s="158"/>
      <c r="G19" s="158"/>
      <c r="H19" s="158"/>
      <c r="I19" s="158"/>
      <c r="J19" s="158"/>
      <c r="K19" s="158"/>
      <c r="L19" s="158"/>
    </row>
    <row r="20" spans="1:12" ht="14.25" x14ac:dyDescent="0.2">
      <c r="A20" s="169" t="s">
        <v>172</v>
      </c>
      <c r="B20" s="180" t="s">
        <v>173</v>
      </c>
      <c r="C20" s="173">
        <f>ROUND('3.CAGED'!C36/'3.CAGED'!C33,4)</f>
        <v>8.3299999999999999E-2</v>
      </c>
      <c r="D20" s="174"/>
      <c r="F20" s="158"/>
      <c r="G20" s="158"/>
      <c r="H20" s="158"/>
      <c r="I20" s="158"/>
      <c r="J20" s="158"/>
      <c r="K20" s="158"/>
      <c r="L20" s="158"/>
    </row>
    <row r="21" spans="1:12" ht="14.25" x14ac:dyDescent="0.2">
      <c r="A21" s="169" t="s">
        <v>234</v>
      </c>
      <c r="B21" s="180" t="s">
        <v>175</v>
      </c>
      <c r="C21" s="173">
        <v>5.9999999999999995E-4</v>
      </c>
      <c r="D21" s="174"/>
      <c r="F21" s="158"/>
      <c r="G21" s="158"/>
      <c r="H21" s="158"/>
      <c r="I21" s="158"/>
      <c r="J21" s="158"/>
      <c r="K21" s="158"/>
      <c r="L21" s="158"/>
    </row>
    <row r="22" spans="1:12" ht="14.25" x14ac:dyDescent="0.2">
      <c r="A22" s="169" t="s">
        <v>174</v>
      </c>
      <c r="B22" s="180" t="s">
        <v>177</v>
      </c>
      <c r="C22" s="173">
        <v>8.2000000000000007E-3</v>
      </c>
      <c r="D22" s="174"/>
      <c r="F22" s="158"/>
      <c r="G22" s="158"/>
      <c r="H22" s="158"/>
      <c r="I22" s="158"/>
      <c r="J22" s="158"/>
      <c r="K22" s="158"/>
      <c r="L22" s="158"/>
    </row>
    <row r="23" spans="1:12" ht="14.25" x14ac:dyDescent="0.2">
      <c r="A23" s="169" t="s">
        <v>176</v>
      </c>
      <c r="B23" s="180" t="s">
        <v>179</v>
      </c>
      <c r="C23" s="173">
        <v>3.0999999999999999E-3</v>
      </c>
      <c r="D23" s="174"/>
      <c r="F23" s="158"/>
      <c r="G23" s="158"/>
      <c r="H23" s="158"/>
      <c r="I23" s="158"/>
      <c r="J23" s="158"/>
      <c r="K23" s="158"/>
      <c r="L23" s="158"/>
    </row>
    <row r="24" spans="1:12" ht="14.25" x14ac:dyDescent="0.2">
      <c r="A24" s="169" t="s">
        <v>178</v>
      </c>
      <c r="B24" s="180" t="s">
        <v>180</v>
      </c>
      <c r="C24" s="173">
        <v>1.66E-2</v>
      </c>
      <c r="D24" s="174"/>
      <c r="F24" s="158"/>
      <c r="G24" s="158"/>
      <c r="H24" s="158"/>
      <c r="I24" s="158"/>
      <c r="J24" s="158"/>
      <c r="K24" s="158"/>
      <c r="L24" s="158"/>
    </row>
    <row r="25" spans="1:12" ht="15" x14ac:dyDescent="0.2">
      <c r="A25" s="169" t="s">
        <v>181</v>
      </c>
      <c r="B25" s="175" t="s">
        <v>182</v>
      </c>
      <c r="C25" s="176">
        <f>SUM(C19:C24)</f>
        <v>0.17369999999999999</v>
      </c>
      <c r="D25" s="181"/>
      <c r="F25" s="158"/>
      <c r="G25" s="158"/>
      <c r="H25" s="158"/>
      <c r="I25" s="158"/>
      <c r="J25" s="158"/>
      <c r="K25" s="158"/>
      <c r="L25" s="158"/>
    </row>
    <row r="26" spans="1:12" ht="15" x14ac:dyDescent="0.2">
      <c r="A26" s="177"/>
      <c r="B26" s="178"/>
      <c r="C26" s="179"/>
      <c r="D26" s="181"/>
      <c r="F26" s="158"/>
      <c r="G26" s="158"/>
      <c r="H26" s="158"/>
      <c r="I26" s="158"/>
      <c r="J26" s="158"/>
      <c r="K26" s="158"/>
      <c r="L26" s="158"/>
    </row>
    <row r="27" spans="1:12" ht="14.25" x14ac:dyDescent="0.2">
      <c r="A27" s="169" t="s">
        <v>183</v>
      </c>
      <c r="B27" s="170" t="s">
        <v>184</v>
      </c>
      <c r="C27" s="173">
        <f>ROUND(('3.CAGED'!C37) *'3.CAGED'!C30/'3.CAGED'!C33,4)</f>
        <v>2.5600000000000001E-2</v>
      </c>
      <c r="D27" s="174"/>
      <c r="E27" s="182"/>
      <c r="F27" s="158"/>
      <c r="G27" s="158"/>
      <c r="H27" s="158"/>
      <c r="I27" s="158"/>
      <c r="J27" s="158"/>
      <c r="K27" s="158"/>
      <c r="L27" s="158"/>
    </row>
    <row r="28" spans="1:12" ht="14.25" x14ac:dyDescent="0.2">
      <c r="A28" s="169" t="s">
        <v>233</v>
      </c>
      <c r="B28" s="170" t="s">
        <v>186</v>
      </c>
      <c r="C28" s="173">
        <f>ROUND(IF('3.CAGED'!C32&gt;12,12/'3.CAGED'!C32*0.1111,0.1111),4)</f>
        <v>4.9200000000000001E-2</v>
      </c>
      <c r="D28" s="174"/>
      <c r="F28" s="158"/>
      <c r="G28" s="158"/>
      <c r="H28" s="183"/>
      <c r="I28" s="158"/>
      <c r="J28" s="158"/>
      <c r="K28" s="158"/>
      <c r="L28" s="158"/>
    </row>
    <row r="29" spans="1:12" ht="14.25" x14ac:dyDescent="0.2">
      <c r="A29" s="169" t="s">
        <v>185</v>
      </c>
      <c r="B29" s="170" t="s">
        <v>188</v>
      </c>
      <c r="C29" s="173">
        <f>C27*C28</f>
        <v>1.2595200000000001E-3</v>
      </c>
      <c r="D29" s="174"/>
      <c r="E29" s="182"/>
      <c r="F29" s="158"/>
      <c r="G29" s="158"/>
      <c r="H29" s="158"/>
      <c r="I29" s="158"/>
      <c r="J29" s="158"/>
      <c r="K29" s="158"/>
      <c r="L29" s="158"/>
    </row>
    <row r="30" spans="1:12" ht="14.25" x14ac:dyDescent="0.2">
      <c r="A30" s="169" t="s">
        <v>187</v>
      </c>
      <c r="B30" s="170" t="s">
        <v>190</v>
      </c>
      <c r="C30" s="173">
        <f>ROUND(('3.CAGED'!C33+'3.CAGED'!C34+'3.CAGED'!C36)/'3.CAGED'!C31*'3.CAGED'!C38*'3.CAGED'!C39*'3.CAGED'!C30/'3.CAGED'!C33,4)</f>
        <v>2.0500000000000001E-2</v>
      </c>
      <c r="D30" s="174"/>
      <c r="F30" s="158"/>
      <c r="G30" s="184"/>
      <c r="H30" s="158"/>
      <c r="I30" s="158"/>
      <c r="J30" s="158"/>
      <c r="K30" s="158"/>
      <c r="L30" s="158"/>
    </row>
    <row r="31" spans="1:12" ht="14.25" x14ac:dyDescent="0.2">
      <c r="A31" s="169" t="s">
        <v>189</v>
      </c>
      <c r="B31" s="170" t="s">
        <v>191</v>
      </c>
      <c r="C31" s="173">
        <f>ROUND(('3.CAGED'!C35/'3.CAGED'!C33)*'3.CAGED'!C30/12,4)</f>
        <v>1.8E-3</v>
      </c>
      <c r="D31" s="174"/>
      <c r="F31" s="158"/>
      <c r="G31" s="158"/>
      <c r="H31" s="158"/>
      <c r="I31" s="158"/>
      <c r="J31" s="158"/>
      <c r="K31" s="158"/>
      <c r="L31" s="158"/>
    </row>
    <row r="32" spans="1:12" ht="15" x14ac:dyDescent="0.2">
      <c r="A32" s="169" t="s">
        <v>192</v>
      </c>
      <c r="B32" s="175" t="s">
        <v>193</v>
      </c>
      <c r="C32" s="176">
        <f>SUM(C27:C31)</f>
        <v>9.8359520000000006E-2</v>
      </c>
      <c r="D32" s="181"/>
      <c r="F32" s="158"/>
      <c r="G32" s="158"/>
      <c r="H32" s="158"/>
      <c r="I32" s="158"/>
      <c r="J32" s="158"/>
      <c r="K32" s="158"/>
      <c r="L32" s="158"/>
    </row>
    <row r="33" spans="1:12" ht="15" x14ac:dyDescent="0.2">
      <c r="A33" s="177"/>
      <c r="B33" s="178"/>
      <c r="C33" s="179"/>
      <c r="D33" s="181"/>
      <c r="F33" s="158"/>
      <c r="G33" s="158"/>
      <c r="H33" s="158"/>
      <c r="I33" s="158"/>
      <c r="J33" s="158"/>
      <c r="K33" s="158"/>
      <c r="L33" s="158"/>
    </row>
    <row r="34" spans="1:12" ht="14.25" x14ac:dyDescent="0.2">
      <c r="A34" s="169" t="s">
        <v>194</v>
      </c>
      <c r="B34" s="170" t="s">
        <v>195</v>
      </c>
      <c r="C34" s="173">
        <f>ROUND(C17*C25,4)</f>
        <v>6.3899999999999998E-2</v>
      </c>
      <c r="D34" s="174"/>
      <c r="F34" s="158"/>
      <c r="G34" s="158"/>
      <c r="H34" s="158"/>
      <c r="I34" s="158"/>
      <c r="J34" s="158"/>
      <c r="K34" s="158"/>
      <c r="L34" s="158"/>
    </row>
    <row r="35" spans="1:12" ht="28.5" x14ac:dyDescent="0.2">
      <c r="A35" s="169" t="s">
        <v>196</v>
      </c>
      <c r="B35" s="185" t="s">
        <v>306</v>
      </c>
      <c r="C35" s="173">
        <f>ROUND((C27*C16),4)</f>
        <v>2E-3</v>
      </c>
      <c r="D35" s="174"/>
      <c r="F35" s="158"/>
      <c r="G35" s="158"/>
      <c r="H35" s="158"/>
      <c r="I35" s="158"/>
      <c r="J35" s="158"/>
      <c r="K35" s="158"/>
      <c r="L35" s="158"/>
    </row>
    <row r="36" spans="1:12" ht="15" x14ac:dyDescent="0.2">
      <c r="A36" s="169" t="s">
        <v>197</v>
      </c>
      <c r="B36" s="175" t="s">
        <v>198</v>
      </c>
      <c r="C36" s="176">
        <f>SUM(C34:C35)</f>
        <v>6.59E-2</v>
      </c>
      <c r="D36" s="186"/>
      <c r="F36" s="158"/>
      <c r="G36" s="158"/>
      <c r="H36" s="158"/>
      <c r="I36" s="158"/>
      <c r="J36" s="158"/>
      <c r="K36" s="158"/>
      <c r="L36" s="158"/>
    </row>
    <row r="37" spans="1:12" ht="15.75" thickBot="1" x14ac:dyDescent="0.25">
      <c r="A37" s="187"/>
      <c r="B37" s="188" t="s">
        <v>199</v>
      </c>
      <c r="C37" s="189">
        <f>C36+C32+C25+C17</f>
        <v>0.70595951999999995</v>
      </c>
      <c r="D37" s="186"/>
      <c r="F37" s="158"/>
      <c r="G37" s="158"/>
      <c r="H37" s="158"/>
      <c r="I37" s="158"/>
      <c r="J37" s="158"/>
      <c r="K37" s="158"/>
      <c r="L37" s="158"/>
    </row>
    <row r="38" spans="1:12" ht="15" x14ac:dyDescent="0.2">
      <c r="A38" s="174"/>
      <c r="B38" s="190"/>
      <c r="C38" s="191"/>
      <c r="D38" s="192"/>
      <c r="F38" s="158"/>
      <c r="G38" s="158"/>
      <c r="H38" s="158"/>
      <c r="I38" s="158"/>
      <c r="J38" s="158"/>
      <c r="K38" s="158"/>
      <c r="L38" s="158"/>
    </row>
    <row r="39" spans="1:12" ht="14.25" x14ac:dyDescent="0.2">
      <c r="A39" s="174"/>
      <c r="B39" s="174"/>
      <c r="C39" s="193"/>
      <c r="D39" s="194"/>
      <c r="F39" s="158"/>
      <c r="G39" s="158"/>
      <c r="H39" s="158"/>
      <c r="I39" s="158"/>
      <c r="J39" s="158"/>
      <c r="K39" s="158"/>
      <c r="L39" s="158"/>
    </row>
    <row r="40" spans="1:12" ht="14.25" x14ac:dyDescent="0.2">
      <c r="A40" s="172"/>
      <c r="B40" s="172"/>
      <c r="C40" s="195"/>
      <c r="D40" s="172"/>
      <c r="F40" s="158"/>
      <c r="G40" s="158"/>
      <c r="H40" s="158"/>
      <c r="I40" s="158"/>
      <c r="J40" s="158"/>
      <c r="K40" s="158"/>
      <c r="L40" s="158"/>
    </row>
    <row r="41" spans="1:12" ht="14.25" x14ac:dyDescent="0.2">
      <c r="A41" s="172"/>
      <c r="B41" s="172"/>
      <c r="C41" s="195"/>
      <c r="D41" s="172"/>
      <c r="F41" s="158"/>
      <c r="G41" s="158"/>
      <c r="H41" s="158"/>
      <c r="I41" s="158"/>
      <c r="J41" s="158"/>
      <c r="K41" s="158"/>
      <c r="L41" s="158"/>
    </row>
    <row r="42" spans="1:12" ht="14.25" x14ac:dyDescent="0.2">
      <c r="A42" s="172"/>
      <c r="B42" s="172"/>
      <c r="C42" s="195"/>
      <c r="D42" s="172"/>
      <c r="F42" s="158"/>
      <c r="G42" s="158"/>
      <c r="H42" s="158"/>
      <c r="I42" s="158"/>
      <c r="J42" s="158"/>
      <c r="K42" s="158"/>
      <c r="L42" s="158"/>
    </row>
    <row r="43" spans="1:12" ht="15" x14ac:dyDescent="0.2">
      <c r="A43" s="172"/>
      <c r="B43" s="196"/>
      <c r="C43" s="197"/>
      <c r="D43" s="172"/>
      <c r="F43" s="158"/>
      <c r="G43" s="158"/>
      <c r="H43" s="158"/>
      <c r="I43" s="158"/>
      <c r="J43" s="158"/>
      <c r="K43" s="158"/>
      <c r="L43" s="158"/>
    </row>
    <row r="44" spans="1:12" ht="15" x14ac:dyDescent="0.2">
      <c r="A44" s="186"/>
      <c r="B44" s="196"/>
      <c r="C44" s="197"/>
      <c r="D44" s="186"/>
      <c r="E44" s="158"/>
      <c r="F44" s="158"/>
      <c r="G44" s="158"/>
      <c r="H44" s="158"/>
      <c r="I44" s="158"/>
      <c r="J44" s="158"/>
      <c r="K44" s="158"/>
      <c r="L44" s="158"/>
    </row>
    <row r="45" spans="1:12" ht="16.5" x14ac:dyDescent="0.2">
      <c r="A45" s="198"/>
      <c r="B45" s="158"/>
      <c r="C45" s="158"/>
      <c r="E45" s="158"/>
      <c r="F45" s="158"/>
      <c r="G45" s="158"/>
      <c r="H45" s="158"/>
      <c r="I45" s="158"/>
      <c r="J45" s="158"/>
      <c r="K45" s="158"/>
      <c r="L45" s="158"/>
    </row>
    <row r="46" spans="1:12" x14ac:dyDescent="0.2">
      <c r="A46" s="199"/>
      <c r="B46" s="200"/>
      <c r="C46" s="200"/>
      <c r="E46" s="158"/>
      <c r="F46" s="158"/>
      <c r="G46" s="158"/>
      <c r="H46" s="158"/>
      <c r="I46" s="158"/>
      <c r="J46" s="158"/>
      <c r="K46" s="158"/>
      <c r="L46" s="158"/>
    </row>
    <row r="47" spans="1:12" ht="14.25" x14ac:dyDescent="0.2">
      <c r="A47" s="172"/>
      <c r="B47" s="201"/>
      <c r="C47" s="200"/>
      <c r="E47" s="158"/>
      <c r="F47" s="158"/>
      <c r="G47" s="158"/>
      <c r="H47" s="158"/>
      <c r="I47" s="158"/>
      <c r="J47" s="158"/>
      <c r="K47" s="158"/>
      <c r="L47" s="158"/>
    </row>
    <row r="48" spans="1:12" ht="14.25" x14ac:dyDescent="0.2">
      <c r="A48" s="172"/>
      <c r="B48" s="201"/>
      <c r="C48" s="172"/>
      <c r="E48" s="158"/>
      <c r="F48" s="158"/>
      <c r="G48" s="158"/>
      <c r="H48" s="158"/>
      <c r="I48" s="158"/>
      <c r="J48" s="158"/>
      <c r="K48" s="158"/>
      <c r="L48" s="158"/>
    </row>
    <row r="49" spans="1:12" ht="14.25" x14ac:dyDescent="0.2">
      <c r="A49" s="172"/>
      <c r="B49" s="195"/>
      <c r="C49" s="200"/>
      <c r="E49" s="158"/>
      <c r="F49" s="158"/>
      <c r="G49" s="158"/>
      <c r="H49" s="158"/>
      <c r="I49" s="158"/>
      <c r="J49" s="158"/>
      <c r="K49" s="158"/>
      <c r="L49" s="158"/>
    </row>
    <row r="50" spans="1:12" ht="14.25" x14ac:dyDescent="0.2">
      <c r="A50" s="172"/>
      <c r="B50" s="201"/>
      <c r="C50" s="172"/>
      <c r="E50" s="158"/>
      <c r="F50" s="158"/>
      <c r="G50" s="158"/>
      <c r="H50" s="158"/>
      <c r="I50" s="158"/>
      <c r="J50" s="158"/>
      <c r="K50" s="158"/>
      <c r="L50" s="158"/>
    </row>
    <row r="51" spans="1:12" ht="14.25" x14ac:dyDescent="0.2">
      <c r="A51" s="172"/>
      <c r="B51" s="195"/>
      <c r="C51" s="200"/>
      <c r="E51" s="158"/>
      <c r="F51" s="158"/>
      <c r="G51" s="158"/>
      <c r="H51" s="158"/>
      <c r="I51" s="158"/>
      <c r="J51" s="158"/>
      <c r="K51" s="158"/>
      <c r="L51" s="158"/>
    </row>
    <row r="52" spans="1:12" ht="14.25" x14ac:dyDescent="0.2">
      <c r="A52" s="172"/>
      <c r="B52" s="201"/>
      <c r="C52" s="172"/>
      <c r="E52" s="158"/>
      <c r="F52" s="158"/>
      <c r="G52" s="158"/>
      <c r="H52" s="158"/>
      <c r="I52" s="158"/>
      <c r="J52" s="158"/>
      <c r="K52" s="158"/>
      <c r="L52" s="158"/>
    </row>
    <row r="53" spans="1:12" ht="14.25" x14ac:dyDescent="0.2">
      <c r="A53" s="172"/>
      <c r="B53" s="195"/>
      <c r="C53" s="200"/>
      <c r="E53" s="158"/>
      <c r="F53" s="158"/>
      <c r="G53" s="158"/>
      <c r="H53" s="158"/>
      <c r="I53" s="158"/>
      <c r="J53" s="158"/>
      <c r="K53" s="158"/>
      <c r="L53" s="158"/>
    </row>
    <row r="54" spans="1:12" ht="14.25" x14ac:dyDescent="0.2">
      <c r="A54" s="172"/>
      <c r="B54" s="201"/>
      <c r="C54" s="172"/>
      <c r="E54" s="158"/>
      <c r="F54" s="158"/>
      <c r="G54" s="158"/>
      <c r="H54" s="158"/>
      <c r="I54" s="158"/>
      <c r="J54" s="158"/>
      <c r="K54" s="158"/>
      <c r="L54" s="158"/>
    </row>
    <row r="55" spans="1:12" ht="14.25" x14ac:dyDescent="0.2">
      <c r="A55" s="172"/>
      <c r="B55" s="195"/>
      <c r="C55" s="200"/>
      <c r="E55" s="158"/>
      <c r="F55" s="158"/>
      <c r="G55" s="158"/>
      <c r="H55" s="158"/>
      <c r="I55" s="158"/>
      <c r="J55" s="158"/>
      <c r="K55" s="158"/>
      <c r="L55" s="158"/>
    </row>
    <row r="56" spans="1:12" ht="16.5" x14ac:dyDescent="0.2">
      <c r="A56" s="198"/>
      <c r="B56" s="158"/>
      <c r="C56" s="158"/>
      <c r="E56" s="158"/>
      <c r="F56" s="158"/>
      <c r="G56" s="158"/>
      <c r="H56" s="158"/>
      <c r="I56" s="158"/>
      <c r="J56" s="158"/>
      <c r="K56" s="158"/>
      <c r="L56" s="158"/>
    </row>
    <row r="57" spans="1:12" x14ac:dyDescent="0.2">
      <c r="A57" s="158"/>
      <c r="B57" s="158"/>
      <c r="C57" s="158"/>
      <c r="E57" s="158"/>
      <c r="F57" s="158"/>
      <c r="G57" s="158"/>
      <c r="H57" s="158"/>
      <c r="I57" s="158"/>
      <c r="J57" s="158"/>
      <c r="K57" s="158"/>
      <c r="L57" s="158"/>
    </row>
    <row r="58" spans="1:12" x14ac:dyDescent="0.2">
      <c r="A58" s="158"/>
      <c r="B58" s="158"/>
      <c r="C58" s="158"/>
      <c r="E58" s="158"/>
      <c r="F58" s="158"/>
      <c r="G58" s="158"/>
      <c r="H58" s="158"/>
      <c r="I58" s="158"/>
      <c r="J58" s="158"/>
      <c r="K58" s="158"/>
      <c r="L58" s="158"/>
    </row>
    <row r="59" spans="1:12" x14ac:dyDescent="0.2">
      <c r="A59" s="202"/>
      <c r="B59" s="158"/>
      <c r="C59" s="158"/>
      <c r="E59" s="158"/>
      <c r="F59" s="158"/>
      <c r="G59" s="158"/>
      <c r="H59" s="158"/>
      <c r="I59" s="158"/>
      <c r="J59" s="158"/>
      <c r="K59" s="158"/>
      <c r="L59" s="158"/>
    </row>
    <row r="60" spans="1:12" x14ac:dyDescent="0.2">
      <c r="A60" s="158"/>
      <c r="B60" s="158"/>
      <c r="C60" s="158"/>
      <c r="E60" s="158"/>
    </row>
    <row r="61" spans="1:12" x14ac:dyDescent="0.2">
      <c r="A61" s="158"/>
      <c r="B61" s="158"/>
      <c r="C61" s="158"/>
      <c r="E61" s="158"/>
    </row>
    <row r="62" spans="1:12" x14ac:dyDescent="0.2">
      <c r="A62" s="158"/>
      <c r="B62" s="158"/>
      <c r="C62" s="158"/>
      <c r="E62" s="158"/>
    </row>
    <row r="63" spans="1:12" x14ac:dyDescent="0.2">
      <c r="A63" s="158"/>
      <c r="B63" s="158"/>
      <c r="C63" s="158"/>
      <c r="E63" s="158"/>
    </row>
    <row r="64" spans="1:12" x14ac:dyDescent="0.2">
      <c r="A64" s="158"/>
      <c r="B64" s="158"/>
      <c r="C64" s="158"/>
      <c r="E64" s="158"/>
    </row>
    <row r="65" spans="1:5" x14ac:dyDescent="0.2">
      <c r="A65" s="158"/>
      <c r="B65" s="158"/>
      <c r="C65" s="158"/>
      <c r="E65" s="158"/>
    </row>
    <row r="66" spans="1:5" x14ac:dyDescent="0.2">
      <c r="A66" s="158"/>
      <c r="B66" s="158"/>
      <c r="C66" s="158"/>
      <c r="E66" s="158"/>
    </row>
    <row r="67" spans="1:5" x14ac:dyDescent="0.2">
      <c r="A67" s="158"/>
      <c r="B67" s="158"/>
      <c r="C67" s="158"/>
      <c r="E67" s="158"/>
    </row>
    <row r="68" spans="1:5" x14ac:dyDescent="0.2">
      <c r="A68" s="158"/>
      <c r="B68" s="158"/>
      <c r="C68" s="158"/>
      <c r="E68" s="158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>
      <selection sqref="A1:XFD9"/>
    </sheetView>
  </sheetViews>
  <sheetFormatPr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108" t="s">
        <v>258</v>
      </c>
    </row>
    <row r="3" spans="1:3" x14ac:dyDescent="0.2">
      <c r="A3" s="1" t="s">
        <v>221</v>
      </c>
    </row>
    <row r="4" spans="1:3" x14ac:dyDescent="0.2">
      <c r="A4" s="279" t="s">
        <v>217</v>
      </c>
    </row>
    <row r="5" spans="1:3" ht="25.5" customHeight="1" x14ac:dyDescent="0.2">
      <c r="A5" s="338" t="s">
        <v>273</v>
      </c>
      <c r="B5" s="337"/>
      <c r="C5" s="337"/>
    </row>
    <row r="6" spans="1:3" x14ac:dyDescent="0.2">
      <c r="A6" s="1" t="s">
        <v>218</v>
      </c>
    </row>
    <row r="7" spans="1:3" ht="26.25" customHeight="1" x14ac:dyDescent="0.2">
      <c r="A7" s="337" t="s">
        <v>219</v>
      </c>
      <c r="B7" s="337"/>
      <c r="C7" s="337"/>
    </row>
    <row r="8" spans="1:3" x14ac:dyDescent="0.2">
      <c r="A8" s="1" t="s">
        <v>220</v>
      </c>
    </row>
    <row r="9" spans="1:3" x14ac:dyDescent="0.2">
      <c r="A9" s="307" t="s">
        <v>259</v>
      </c>
    </row>
    <row r="10" spans="1:3" ht="13.5" thickBot="1" x14ac:dyDescent="0.25"/>
    <row r="11" spans="1:3" ht="18" x14ac:dyDescent="0.25">
      <c r="B11" s="335" t="s">
        <v>244</v>
      </c>
      <c r="C11" s="336"/>
    </row>
    <row r="12" spans="1:3" ht="15" x14ac:dyDescent="0.25">
      <c r="A12" s="158"/>
      <c r="B12" s="157" t="s">
        <v>216</v>
      </c>
      <c r="C12" s="203"/>
    </row>
    <row r="13" spans="1:3" ht="15" x14ac:dyDescent="0.25">
      <c r="A13" s="158"/>
      <c r="B13" s="159" t="s">
        <v>135</v>
      </c>
      <c r="C13" s="160">
        <v>2100</v>
      </c>
    </row>
    <row r="14" spans="1:3" ht="15" x14ac:dyDescent="0.25">
      <c r="A14" s="158"/>
      <c r="B14" s="161" t="s">
        <v>136</v>
      </c>
      <c r="C14" s="160">
        <v>2031</v>
      </c>
    </row>
    <row r="15" spans="1:3" ht="14.25" x14ac:dyDescent="0.2">
      <c r="A15" s="158"/>
      <c r="B15" s="204" t="s">
        <v>137</v>
      </c>
      <c r="C15" s="205">
        <v>44</v>
      </c>
    </row>
    <row r="16" spans="1:3" ht="14.25" x14ac:dyDescent="0.2">
      <c r="A16" s="158"/>
      <c r="B16" s="204" t="s">
        <v>138</v>
      </c>
      <c r="C16" s="205">
        <v>1192</v>
      </c>
    </row>
    <row r="17" spans="1:5" ht="14.25" x14ac:dyDescent="0.2">
      <c r="A17" s="158"/>
      <c r="B17" s="204" t="s">
        <v>139</v>
      </c>
      <c r="C17" s="205">
        <v>372</v>
      </c>
    </row>
    <row r="18" spans="1:5" ht="14.25" x14ac:dyDescent="0.2">
      <c r="A18" s="158"/>
      <c r="B18" s="204" t="s">
        <v>140</v>
      </c>
      <c r="C18" s="205">
        <v>22</v>
      </c>
    </row>
    <row r="19" spans="1:5" ht="14.25" x14ac:dyDescent="0.2">
      <c r="A19" s="158"/>
      <c r="B19" s="204" t="s">
        <v>141</v>
      </c>
      <c r="C19" s="205">
        <v>350</v>
      </c>
    </row>
    <row r="20" spans="1:5" ht="14.25" x14ac:dyDescent="0.2">
      <c r="A20" s="158"/>
      <c r="B20" s="204" t="s">
        <v>142</v>
      </c>
      <c r="C20" s="205">
        <v>1</v>
      </c>
    </row>
    <row r="21" spans="1:5" ht="14.25" x14ac:dyDescent="0.2">
      <c r="A21" s="158"/>
      <c r="B21" s="204" t="s">
        <v>143</v>
      </c>
      <c r="C21" s="205">
        <v>30</v>
      </c>
    </row>
    <row r="22" spans="1:5" ht="14.25" x14ac:dyDescent="0.2">
      <c r="A22" s="158"/>
      <c r="B22" s="206" t="s">
        <v>144</v>
      </c>
      <c r="C22" s="207">
        <v>0</v>
      </c>
    </row>
    <row r="23" spans="1:5" ht="14.25" x14ac:dyDescent="0.2">
      <c r="A23" s="158"/>
      <c r="B23" s="313" t="s">
        <v>313</v>
      </c>
      <c r="C23" s="207">
        <v>0</v>
      </c>
    </row>
    <row r="24" spans="1:5" ht="15" x14ac:dyDescent="0.25">
      <c r="A24" s="158" t="s">
        <v>145</v>
      </c>
      <c r="B24" s="157" t="s">
        <v>146</v>
      </c>
      <c r="C24" s="203"/>
    </row>
    <row r="25" spans="1:5" ht="14.25" x14ac:dyDescent="0.2">
      <c r="A25" s="158"/>
      <c r="B25" s="208" t="s">
        <v>318</v>
      </c>
      <c r="C25" s="209">
        <v>4625</v>
      </c>
    </row>
    <row r="26" spans="1:5" ht="14.25" x14ac:dyDescent="0.2">
      <c r="A26" s="158"/>
      <c r="B26" s="204" t="s">
        <v>316</v>
      </c>
      <c r="C26" s="205">
        <v>4694</v>
      </c>
    </row>
    <row r="27" spans="1:5" ht="14.25" x14ac:dyDescent="0.2">
      <c r="B27" s="204" t="s">
        <v>317</v>
      </c>
      <c r="C27" s="306">
        <f>C13-C14</f>
        <v>69</v>
      </c>
    </row>
    <row r="28" spans="1:5" ht="14.25" x14ac:dyDescent="0.2">
      <c r="B28" s="210"/>
      <c r="C28" s="211"/>
    </row>
    <row r="29" spans="1:5" s="108" customFormat="1" ht="15" x14ac:dyDescent="0.25">
      <c r="B29" s="159" t="s">
        <v>148</v>
      </c>
      <c r="C29" s="212">
        <f>MEDIAN(C25,C26)</f>
        <v>4659.5</v>
      </c>
    </row>
    <row r="30" spans="1:5" ht="15" x14ac:dyDescent="0.25">
      <c r="B30" s="161" t="s">
        <v>311</v>
      </c>
      <c r="C30" s="311">
        <f>C16/C29</f>
        <v>0.25582144006867691</v>
      </c>
    </row>
    <row r="31" spans="1:5" ht="15" x14ac:dyDescent="0.25">
      <c r="B31" s="161" t="s">
        <v>312</v>
      </c>
      <c r="C31" s="311">
        <f>MEDIAN(C13,C14)/C29</f>
        <v>0.44328790642772831</v>
      </c>
      <c r="E31" s="279"/>
    </row>
    <row r="32" spans="1:5" s="108" customFormat="1" ht="15" x14ac:dyDescent="0.25">
      <c r="B32" s="161" t="s">
        <v>265</v>
      </c>
      <c r="C32" s="309">
        <f>12/C31</f>
        <v>27.070442992011618</v>
      </c>
    </row>
    <row r="33" spans="2:4" ht="15" x14ac:dyDescent="0.25">
      <c r="B33" s="161" t="s">
        <v>147</v>
      </c>
      <c r="C33" s="163">
        <v>360</v>
      </c>
    </row>
    <row r="34" spans="2:4" ht="15" x14ac:dyDescent="0.25">
      <c r="B34" s="161" t="s">
        <v>260</v>
      </c>
      <c r="C34" s="163">
        <v>10</v>
      </c>
    </row>
    <row r="35" spans="2:4" ht="15" x14ac:dyDescent="0.25">
      <c r="B35" s="159" t="s">
        <v>261</v>
      </c>
      <c r="C35" s="162">
        <v>30</v>
      </c>
    </row>
    <row r="36" spans="2:4" ht="15" x14ac:dyDescent="0.25">
      <c r="B36" s="159" t="s">
        <v>262</v>
      </c>
      <c r="C36" s="162">
        <v>30</v>
      </c>
    </row>
    <row r="37" spans="2:4" s="108" customFormat="1" ht="15" x14ac:dyDescent="0.25">
      <c r="B37" s="159" t="s">
        <v>150</v>
      </c>
      <c r="C37" s="162">
        <f>30+(3*TRUNC(1/C31))</f>
        <v>36</v>
      </c>
    </row>
    <row r="38" spans="2:4" s="108" customFormat="1" ht="15" x14ac:dyDescent="0.25">
      <c r="B38" s="161" t="s">
        <v>44</v>
      </c>
      <c r="C38" s="310">
        <v>0.08</v>
      </c>
    </row>
    <row r="39" spans="2:4" s="108" customFormat="1" ht="15.75" thickBot="1" x14ac:dyDescent="0.3">
      <c r="B39" s="164" t="s">
        <v>149</v>
      </c>
      <c r="C39" s="312">
        <v>0.4</v>
      </c>
      <c r="D39" s="108" t="s">
        <v>322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A4" sqref="A4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23" bestFit="1" customWidth="1"/>
    <col min="6" max="6" width="9.7109375" bestFit="1" customWidth="1"/>
  </cols>
  <sheetData>
    <row r="1" spans="1:8" s="147" customFormat="1" ht="14.25" x14ac:dyDescent="0.2">
      <c r="A1" s="11" t="s">
        <v>213</v>
      </c>
      <c r="B1" s="145"/>
      <c r="C1" s="145"/>
      <c r="E1" s="148"/>
    </row>
    <row r="2" spans="1:8" s="147" customFormat="1" ht="14.25" x14ac:dyDescent="0.2">
      <c r="A2" s="140" t="s">
        <v>266</v>
      </c>
      <c r="B2" s="145"/>
      <c r="C2" s="145"/>
      <c r="E2" s="148"/>
    </row>
    <row r="3" spans="1:8" s="147" customFormat="1" ht="14.25" x14ac:dyDescent="0.2">
      <c r="A3" s="9" t="s">
        <v>214</v>
      </c>
      <c r="B3" s="145"/>
      <c r="C3" s="145"/>
      <c r="E3" s="148"/>
    </row>
    <row r="4" spans="1:8" s="147" customFormat="1" ht="14.25" x14ac:dyDescent="0.2">
      <c r="A4" s="9"/>
      <c r="B4" s="145"/>
      <c r="C4" s="145"/>
      <c r="E4" s="148"/>
    </row>
    <row r="5" spans="1:8" s="4" customFormat="1" ht="15.6" customHeight="1" x14ac:dyDescent="0.2">
      <c r="A5" s="305"/>
      <c r="B5" s="139"/>
      <c r="C5" s="139"/>
      <c r="D5" s="139"/>
      <c r="E5" s="139"/>
      <c r="F5" s="139"/>
      <c r="G5" s="6"/>
    </row>
    <row r="6" spans="1:8" s="4" customFormat="1" ht="16.5" customHeight="1" x14ac:dyDescent="0.2">
      <c r="A6" s="305"/>
      <c r="B6" s="5"/>
      <c r="C6" s="5"/>
      <c r="D6" s="6"/>
      <c r="E6" s="6"/>
      <c r="F6" s="6"/>
      <c r="G6" s="6"/>
    </row>
    <row r="7" spans="1:8" s="147" customFormat="1" ht="15" thickBot="1" x14ac:dyDescent="0.25">
      <c r="B7" s="145"/>
      <c r="C7" s="145"/>
      <c r="E7" s="148"/>
    </row>
    <row r="8" spans="1:8" ht="15.75" x14ac:dyDescent="0.2">
      <c r="A8" s="344" t="s">
        <v>245</v>
      </c>
      <c r="B8" s="345"/>
      <c r="C8" s="345"/>
      <c r="D8" s="345"/>
      <c r="E8" s="345"/>
      <c r="F8" s="346"/>
    </row>
    <row r="9" spans="1:8" ht="16.5" thickBot="1" x14ac:dyDescent="0.25">
      <c r="A9" s="264"/>
      <c r="B9" s="265"/>
      <c r="C9" s="265"/>
      <c r="D9" s="265"/>
      <c r="E9" s="265"/>
      <c r="F9" s="266"/>
    </row>
    <row r="10" spans="1:8" ht="15" x14ac:dyDescent="0.25">
      <c r="A10" s="213"/>
      <c r="B10" s="146"/>
      <c r="C10" s="146"/>
      <c r="D10" s="341" t="s">
        <v>263</v>
      </c>
      <c r="E10" s="342"/>
      <c r="F10" s="343"/>
      <c r="G10" s="147"/>
      <c r="H10" s="147"/>
    </row>
    <row r="11" spans="1:8" ht="15" thickBot="1" x14ac:dyDescent="0.25">
      <c r="A11" s="210"/>
      <c r="B11" s="214"/>
      <c r="C11" s="214"/>
      <c r="D11" s="215" t="s">
        <v>200</v>
      </c>
      <c r="E11" s="216" t="s">
        <v>201</v>
      </c>
      <c r="F11" s="217" t="s">
        <v>202</v>
      </c>
      <c r="G11" s="147"/>
      <c r="H11" s="147"/>
    </row>
    <row r="12" spans="1:8" ht="14.25" x14ac:dyDescent="0.2">
      <c r="A12" s="218" t="s">
        <v>79</v>
      </c>
      <c r="B12" s="219" t="s">
        <v>80</v>
      </c>
      <c r="C12" s="220"/>
      <c r="D12" s="241">
        <v>2.9700000000000001E-2</v>
      </c>
      <c r="E12" s="242">
        <v>5.0799999999999998E-2</v>
      </c>
      <c r="F12" s="243">
        <v>6.2700000000000006E-2</v>
      </c>
      <c r="G12" s="147"/>
      <c r="H12" s="147"/>
    </row>
    <row r="13" spans="1:8" ht="14.25" x14ac:dyDescent="0.2">
      <c r="A13" s="222" t="s">
        <v>81</v>
      </c>
      <c r="B13" s="223" t="s">
        <v>82</v>
      </c>
      <c r="C13" s="224"/>
      <c r="D13" s="241">
        <f>0.3%+0.56%</f>
        <v>8.6E-3</v>
      </c>
      <c r="E13" s="242">
        <f>0.48%+0.85%</f>
        <v>1.3299999999999999E-2</v>
      </c>
      <c r="F13" s="243">
        <f>0.82%+0.89%</f>
        <v>1.7099999999999997E-2</v>
      </c>
      <c r="G13" s="147"/>
      <c r="H13" s="147"/>
    </row>
    <row r="14" spans="1:8" ht="14.25" x14ac:dyDescent="0.2">
      <c r="A14" s="222" t="s">
        <v>83</v>
      </c>
      <c r="B14" s="223" t="s">
        <v>84</v>
      </c>
      <c r="C14" s="224"/>
      <c r="D14" s="241">
        <v>7.7799999999999994E-2</v>
      </c>
      <c r="E14" s="242">
        <v>0.1085</v>
      </c>
      <c r="F14" s="243">
        <v>0.13550000000000001</v>
      </c>
      <c r="G14" s="147"/>
      <c r="H14" s="147"/>
    </row>
    <row r="15" spans="1:8" ht="14.25" x14ac:dyDescent="0.2">
      <c r="A15" s="222" t="s">
        <v>85</v>
      </c>
      <c r="B15" s="223" t="s">
        <v>86</v>
      </c>
      <c r="C15" s="225">
        <f>(1+E15)^(E16/252)-1</f>
        <v>0</v>
      </c>
      <c r="D15" s="241" t="s">
        <v>302</v>
      </c>
      <c r="E15" s="226"/>
      <c r="F15" s="221"/>
      <c r="G15" s="147"/>
      <c r="H15" s="147"/>
    </row>
    <row r="16" spans="1:8" ht="14.25" x14ac:dyDescent="0.2">
      <c r="A16" s="222" t="s">
        <v>87</v>
      </c>
      <c r="B16" s="339" t="s">
        <v>88</v>
      </c>
      <c r="C16" s="224"/>
      <c r="D16" s="303" t="s">
        <v>203</v>
      </c>
      <c r="E16" s="227"/>
      <c r="F16" s="228"/>
      <c r="G16" s="147"/>
      <c r="H16" s="147"/>
    </row>
    <row r="17" spans="1:8" ht="15" thickBot="1" x14ac:dyDescent="0.25">
      <c r="A17" s="229" t="s">
        <v>89</v>
      </c>
      <c r="B17" s="340"/>
      <c r="C17" s="230"/>
      <c r="D17" s="204"/>
      <c r="E17" s="231"/>
      <c r="F17" s="228"/>
      <c r="G17" s="147"/>
      <c r="H17" s="147"/>
    </row>
    <row r="18" spans="1:8" ht="14.25" x14ac:dyDescent="0.2">
      <c r="A18" s="232" t="s">
        <v>90</v>
      </c>
      <c r="B18" s="233"/>
      <c r="C18" s="234"/>
      <c r="D18" s="204"/>
      <c r="E18" s="231"/>
      <c r="F18" s="228"/>
      <c r="G18" s="147"/>
      <c r="H18" s="147"/>
    </row>
    <row r="19" spans="1:8" ht="15" thickBot="1" x14ac:dyDescent="0.25">
      <c r="A19" s="235" t="s">
        <v>91</v>
      </c>
      <c r="B19" s="236"/>
      <c r="C19" s="237"/>
      <c r="D19" s="204"/>
      <c r="E19" s="231"/>
      <c r="F19" s="228"/>
      <c r="G19" s="147"/>
      <c r="H19" s="147"/>
    </row>
    <row r="20" spans="1:8" ht="15.75" thickBot="1" x14ac:dyDescent="0.25">
      <c r="A20" s="238" t="s">
        <v>92</v>
      </c>
      <c r="B20" s="239"/>
      <c r="C20" s="240">
        <f>ROUND((((1+C12+C13)*(1+C14)*(1+C15))/(1-(C16+C17))-1),4)</f>
        <v>0</v>
      </c>
      <c r="D20" s="244">
        <v>0.21429999999999999</v>
      </c>
      <c r="E20" s="245">
        <v>0.2717</v>
      </c>
      <c r="F20" s="246">
        <v>0.3362</v>
      </c>
      <c r="G20" s="147"/>
      <c r="H20" s="147"/>
    </row>
    <row r="21" spans="1:8" ht="14.25" x14ac:dyDescent="0.2">
      <c r="A21" s="147"/>
      <c r="B21" s="147"/>
      <c r="C21" s="147"/>
      <c r="D21" s="147"/>
      <c r="E21" s="148"/>
      <c r="F21" s="147"/>
      <c r="G21" s="147"/>
      <c r="H21" s="147"/>
    </row>
    <row r="22" spans="1:8" ht="14.25" x14ac:dyDescent="0.2">
      <c r="A22" s="147"/>
      <c r="B22" s="147"/>
      <c r="C22" s="147"/>
      <c r="D22" s="147"/>
      <c r="E22" s="148"/>
      <c r="F22" s="147"/>
      <c r="G22" s="147"/>
      <c r="H22" s="147"/>
    </row>
    <row r="23" spans="1:8" ht="14.25" x14ac:dyDescent="0.2">
      <c r="A23" s="147"/>
      <c r="B23" s="147"/>
      <c r="C23" s="147"/>
      <c r="D23" s="147"/>
      <c r="E23" s="148"/>
      <c r="F23" s="147"/>
      <c r="G23" s="147"/>
      <c r="H23" s="147"/>
    </row>
    <row r="24" spans="1:8" ht="14.25" x14ac:dyDescent="0.2">
      <c r="A24" s="147"/>
      <c r="B24" s="147"/>
      <c r="C24" s="147"/>
      <c r="D24" s="147"/>
      <c r="E24" s="148"/>
      <c r="F24" s="147"/>
      <c r="G24" s="147"/>
      <c r="H24" s="147"/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F12" sqref="F12"/>
    </sheetView>
  </sheetViews>
  <sheetFormatPr defaultRowHeight="19.5" customHeight="1" x14ac:dyDescent="0.2"/>
  <cols>
    <col min="1" max="1" width="24.5703125" style="1" customWidth="1"/>
    <col min="2" max="2" width="20.85546875" style="1" customWidth="1"/>
    <col min="3" max="16384" width="9.140625" style="1"/>
  </cols>
  <sheetData>
    <row r="1" spans="1:2" ht="19.5" customHeight="1" thickBot="1" x14ac:dyDescent="0.25">
      <c r="A1" s="347" t="s">
        <v>247</v>
      </c>
      <c r="B1" s="348"/>
    </row>
    <row r="2" spans="1:2" s="108" customFormat="1" ht="19.5" customHeight="1" x14ac:dyDescent="0.2">
      <c r="A2" s="267" t="s">
        <v>222</v>
      </c>
      <c r="B2" s="268" t="s">
        <v>304</v>
      </c>
    </row>
    <row r="3" spans="1:2" ht="19.5" customHeight="1" x14ac:dyDescent="0.2">
      <c r="A3" s="166">
        <v>1</v>
      </c>
      <c r="B3" s="165">
        <v>33.629999999999995</v>
      </c>
    </row>
    <row r="4" spans="1:2" ht="19.5" customHeight="1" x14ac:dyDescent="0.2">
      <c r="A4" s="166">
        <v>2</v>
      </c>
      <c r="B4" s="165">
        <v>43.13</v>
      </c>
    </row>
    <row r="5" spans="1:2" ht="19.5" customHeight="1" x14ac:dyDescent="0.2">
      <c r="A5" s="166">
        <v>3</v>
      </c>
      <c r="B5" s="165">
        <v>48.68</v>
      </c>
    </row>
    <row r="6" spans="1:2" ht="19.5" customHeight="1" x14ac:dyDescent="0.2">
      <c r="A6" s="166">
        <v>4</v>
      </c>
      <c r="B6" s="165">
        <v>52.62</v>
      </c>
    </row>
    <row r="7" spans="1:2" ht="19.5" customHeight="1" x14ac:dyDescent="0.2">
      <c r="A7" s="166">
        <v>5</v>
      </c>
      <c r="B7" s="165">
        <v>55.679999999999993</v>
      </c>
    </row>
    <row r="8" spans="1:2" ht="19.5" customHeight="1" x14ac:dyDescent="0.2">
      <c r="A8" s="166">
        <v>6</v>
      </c>
      <c r="B8" s="165">
        <v>58.18</v>
      </c>
    </row>
    <row r="9" spans="1:2" ht="19.5" customHeight="1" x14ac:dyDescent="0.2">
      <c r="A9" s="166">
        <v>7</v>
      </c>
      <c r="B9" s="165">
        <v>60.29</v>
      </c>
    </row>
    <row r="10" spans="1:2" ht="19.5" customHeight="1" x14ac:dyDescent="0.2">
      <c r="A10" s="166">
        <v>8</v>
      </c>
      <c r="B10" s="165">
        <v>62.12</v>
      </c>
    </row>
    <row r="11" spans="1:2" ht="19.5" customHeight="1" x14ac:dyDescent="0.2">
      <c r="A11" s="166">
        <v>9</v>
      </c>
      <c r="B11" s="165">
        <v>63.73</v>
      </c>
    </row>
    <row r="12" spans="1:2" ht="19.5" customHeight="1" x14ac:dyDescent="0.2">
      <c r="A12" s="166">
        <v>10</v>
      </c>
      <c r="B12" s="165">
        <v>65.180000000000007</v>
      </c>
    </row>
    <row r="13" spans="1:2" ht="19.5" customHeight="1" x14ac:dyDescent="0.2">
      <c r="A13" s="166">
        <v>11</v>
      </c>
      <c r="B13" s="165">
        <v>66.47999999999999</v>
      </c>
    </row>
    <row r="14" spans="1:2" ht="19.5" customHeight="1" x14ac:dyDescent="0.2">
      <c r="A14" s="166">
        <v>12</v>
      </c>
      <c r="B14" s="165">
        <v>67.67</v>
      </c>
    </row>
    <row r="15" spans="1:2" ht="19.5" customHeight="1" x14ac:dyDescent="0.2">
      <c r="A15" s="166">
        <v>13</v>
      </c>
      <c r="B15" s="165">
        <v>68.77</v>
      </c>
    </row>
    <row r="16" spans="1:2" ht="19.5" customHeight="1" x14ac:dyDescent="0.2">
      <c r="A16" s="166">
        <v>14</v>
      </c>
      <c r="B16" s="165">
        <v>69.789999999999992</v>
      </c>
    </row>
    <row r="17" spans="1:2" ht="19.5" customHeight="1" thickBot="1" x14ac:dyDescent="0.25">
      <c r="A17" s="167">
        <v>15</v>
      </c>
      <c r="B17" s="168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D17" sqref="D17"/>
    </sheetView>
  </sheetViews>
  <sheetFormatPr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50" t="s">
        <v>251</v>
      </c>
    </row>
    <row r="2" spans="1:1" x14ac:dyDescent="0.2">
      <c r="A2" s="247"/>
    </row>
    <row r="3" spans="1:1" x14ac:dyDescent="0.2">
      <c r="A3" s="247" t="s">
        <v>267</v>
      </c>
    </row>
    <row r="4" spans="1:1" x14ac:dyDescent="0.2">
      <c r="A4" s="247"/>
    </row>
    <row r="5" spans="1:1" x14ac:dyDescent="0.2">
      <c r="A5" s="247"/>
    </row>
    <row r="6" spans="1:1" x14ac:dyDescent="0.2">
      <c r="A6" s="247"/>
    </row>
    <row r="7" spans="1:1" x14ac:dyDescent="0.2">
      <c r="A7" s="247"/>
    </row>
    <row r="8" spans="1:1" x14ac:dyDescent="0.2">
      <c r="A8" s="247"/>
    </row>
    <row r="9" spans="1:1" x14ac:dyDescent="0.2">
      <c r="A9" s="247"/>
    </row>
    <row r="10" spans="1:1" x14ac:dyDescent="0.2">
      <c r="A10" s="247"/>
    </row>
    <row r="11" spans="1:1" x14ac:dyDescent="0.2">
      <c r="A11" s="247"/>
    </row>
    <row r="12" spans="1:1" ht="19.5" x14ac:dyDescent="0.35">
      <c r="A12" s="248" t="s">
        <v>248</v>
      </c>
    </row>
    <row r="13" spans="1:1" ht="15" x14ac:dyDescent="0.2">
      <c r="A13" s="248" t="s">
        <v>118</v>
      </c>
    </row>
    <row r="14" spans="1:1" ht="15" x14ac:dyDescent="0.2">
      <c r="A14" s="248" t="s">
        <v>123</v>
      </c>
    </row>
    <row r="15" spans="1:1" ht="19.5" x14ac:dyDescent="0.35">
      <c r="A15" s="248" t="s">
        <v>249</v>
      </c>
    </row>
    <row r="16" spans="1:1" ht="19.5" x14ac:dyDescent="0.35">
      <c r="A16" s="248" t="s">
        <v>250</v>
      </c>
    </row>
    <row r="17" spans="1:1" ht="15.75" thickBot="1" x14ac:dyDescent="0.25">
      <c r="A17" s="249" t="s">
        <v>119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opLeftCell="A7" zoomScaleNormal="100" workbookViewId="0">
      <selection activeCell="C21" sqref="C21"/>
    </sheetView>
  </sheetViews>
  <sheetFormatPr defaultRowHeight="12.75" x14ac:dyDescent="0.2"/>
  <cols>
    <col min="1" max="1" width="58.28515625" style="279" customWidth="1"/>
    <col min="2" max="2" width="11.140625" style="279" bestFit="1" customWidth="1"/>
    <col min="3" max="3" width="11.28515625" style="279" bestFit="1" customWidth="1"/>
    <col min="4" max="16384" width="9.140625" style="279"/>
  </cols>
  <sheetData>
    <row r="1" spans="1:7" x14ac:dyDescent="0.2">
      <c r="A1" s="11" t="s">
        <v>213</v>
      </c>
    </row>
    <row r="2" spans="1:7" x14ac:dyDescent="0.2">
      <c r="A2" s="284" t="s">
        <v>279</v>
      </c>
    </row>
    <row r="3" spans="1:7" x14ac:dyDescent="0.2">
      <c r="A3" s="284" t="s">
        <v>305</v>
      </c>
    </row>
    <row r="4" spans="1:7" x14ac:dyDescent="0.2">
      <c r="A4" s="7" t="s">
        <v>303</v>
      </c>
    </row>
    <row r="5" spans="1:7" x14ac:dyDescent="0.2">
      <c r="A5" s="7"/>
    </row>
    <row r="6" spans="1:7" s="4" customFormat="1" ht="15.6" customHeight="1" x14ac:dyDescent="0.2">
      <c r="A6" s="305" t="s">
        <v>310</v>
      </c>
      <c r="B6" s="139"/>
      <c r="C6" s="139"/>
      <c r="D6" s="139"/>
      <c r="E6" s="139"/>
      <c r="F6" s="139"/>
      <c r="G6" s="6"/>
    </row>
    <row r="7" spans="1:7" s="4" customFormat="1" ht="16.5" customHeight="1" x14ac:dyDescent="0.2">
      <c r="A7" s="305" t="s">
        <v>307</v>
      </c>
      <c r="B7" s="5"/>
      <c r="C7" s="5"/>
      <c r="D7" s="6"/>
      <c r="E7" s="6"/>
      <c r="F7" s="6"/>
      <c r="G7" s="6"/>
    </row>
    <row r="8" spans="1:7" ht="13.5" thickBot="1" x14ac:dyDescent="0.25"/>
    <row r="9" spans="1:7" ht="18" x14ac:dyDescent="0.25">
      <c r="A9" s="349" t="s">
        <v>299</v>
      </c>
      <c r="B9" s="350"/>
      <c r="C9" s="351"/>
    </row>
    <row r="10" spans="1:7" s="285" customFormat="1" ht="18" x14ac:dyDescent="0.25">
      <c r="A10" s="300"/>
      <c r="B10" s="299"/>
      <c r="C10" s="301"/>
    </row>
    <row r="11" spans="1:7" s="108" customFormat="1" ht="15" x14ac:dyDescent="0.25">
      <c r="A11" s="286" t="s">
        <v>300</v>
      </c>
      <c r="B11" s="287" t="s">
        <v>280</v>
      </c>
      <c r="C11" s="288" t="s">
        <v>153</v>
      </c>
    </row>
    <row r="12" spans="1:7" ht="14.25" x14ac:dyDescent="0.2">
      <c r="A12" s="289" t="s">
        <v>288</v>
      </c>
      <c r="B12" s="290" t="s">
        <v>281</v>
      </c>
      <c r="C12" s="205">
        <v>6616</v>
      </c>
    </row>
    <row r="13" spans="1:7" ht="14.25" x14ac:dyDescent="0.2">
      <c r="A13" s="204" t="s">
        <v>289</v>
      </c>
      <c r="B13" s="291" t="s">
        <v>286</v>
      </c>
      <c r="C13" s="292">
        <f>0.0362741*C12^0.2336249</f>
        <v>0.28325845808572875</v>
      </c>
    </row>
    <row r="14" spans="1:7" ht="14.25" x14ac:dyDescent="0.2">
      <c r="A14" s="204" t="s">
        <v>290</v>
      </c>
      <c r="B14" s="291" t="s">
        <v>287</v>
      </c>
      <c r="C14" s="293">
        <f>C12*C13/1000</f>
        <v>1.8740379586951814</v>
      </c>
    </row>
    <row r="15" spans="1:7" ht="14.25" x14ac:dyDescent="0.2">
      <c r="A15" s="204" t="s">
        <v>296</v>
      </c>
      <c r="B15" s="291" t="s">
        <v>282</v>
      </c>
      <c r="C15" s="294">
        <f>(C14*30)</f>
        <v>56.221138760855439</v>
      </c>
    </row>
    <row r="16" spans="1:7" ht="14.25" x14ac:dyDescent="0.2">
      <c r="A16" s="204" t="s">
        <v>292</v>
      </c>
      <c r="B16" s="291" t="s">
        <v>97</v>
      </c>
      <c r="C16" s="297">
        <v>5</v>
      </c>
    </row>
    <row r="17" spans="1:3" ht="14.25" x14ac:dyDescent="0.2">
      <c r="A17" s="204" t="s">
        <v>291</v>
      </c>
      <c r="B17" s="291" t="s">
        <v>287</v>
      </c>
      <c r="C17" s="293">
        <f>IFERROR(C14*7/C16,0)</f>
        <v>2.6236531421732541</v>
      </c>
    </row>
    <row r="18" spans="1:3" ht="14.25" x14ac:dyDescent="0.2">
      <c r="A18" s="289" t="s">
        <v>283</v>
      </c>
      <c r="B18" s="291" t="s">
        <v>284</v>
      </c>
      <c r="C18" s="228">
        <v>500</v>
      </c>
    </row>
    <row r="19" spans="1:3" ht="14.25" x14ac:dyDescent="0.2">
      <c r="A19" s="204" t="s">
        <v>297</v>
      </c>
      <c r="B19" s="291"/>
      <c r="C19" s="205">
        <v>2</v>
      </c>
    </row>
    <row r="20" spans="1:3" ht="14.25" x14ac:dyDescent="0.2">
      <c r="A20" s="289" t="s">
        <v>298</v>
      </c>
      <c r="B20" s="291" t="s">
        <v>285</v>
      </c>
      <c r="C20" s="205">
        <v>15</v>
      </c>
    </row>
    <row r="21" spans="1:3" ht="14.25" x14ac:dyDescent="0.2">
      <c r="A21" s="204" t="s">
        <v>293</v>
      </c>
      <c r="B21" s="291" t="s">
        <v>282</v>
      </c>
      <c r="C21" s="228">
        <f>IF(AND(C20&gt;=15,C19=1),5.8,C20/2)</f>
        <v>7.5</v>
      </c>
    </row>
    <row r="22" spans="1:3" ht="14.25" x14ac:dyDescent="0.2">
      <c r="A22" s="289" t="s">
        <v>294</v>
      </c>
      <c r="B22" s="291"/>
      <c r="C22" s="293">
        <f>IFERROR(C17/C21,0)</f>
        <v>0.3498204189564339</v>
      </c>
    </row>
    <row r="23" spans="1:3" ht="14.25" x14ac:dyDescent="0.2">
      <c r="A23" s="289" t="s">
        <v>301</v>
      </c>
      <c r="B23" s="291"/>
      <c r="C23" s="302">
        <v>1</v>
      </c>
    </row>
    <row r="24" spans="1:3" ht="15" thickBot="1" x14ac:dyDescent="0.25">
      <c r="A24" s="295" t="s">
        <v>295</v>
      </c>
      <c r="B24" s="296"/>
      <c r="C24" s="298">
        <f>IFERROR(C22/C23,0)</f>
        <v>0.3498204189564339</v>
      </c>
    </row>
  </sheetData>
  <mergeCells count="1">
    <mergeCell ref="A9:C9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Usuario</cp:lastModifiedBy>
  <cp:lastPrinted>2022-08-16T17:53:19Z</cp:lastPrinted>
  <dcterms:created xsi:type="dcterms:W3CDTF">2000-12-13T10:02:50Z</dcterms:created>
  <dcterms:modified xsi:type="dcterms:W3CDTF">2022-08-16T17:54:16Z</dcterms:modified>
</cp:coreProperties>
</file>